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des" state="visible" r:id="rId4"/>
    <sheet sheetId="2" name="Wheel summary" state="visible" r:id="rId5"/>
    <sheet sheetId="3" name="How to use" state="visible" r:id="rId6"/>
  </sheet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A2" authorId="0">
      <text>
        <r>
          <t>Example rows: type over them with your own trades.</t>
        </r>
      </text>
    </comment>
  </commentList>
</comments>
</file>

<file path=xl/sharedStrings.xml><?xml version="1.0" encoding="utf-8"?>
<sst xmlns="http://schemas.openxmlformats.org/spreadsheetml/2006/main" count="89" uniqueCount="74">
  <si>
    <t>Ticker</t>
  </si>
  <si>
    <t>Type</t>
  </si>
  <si>
    <t>Strike</t>
  </si>
  <si>
    <t>Premium</t>
  </si>
  <si>
    <t>Contracts</t>
  </si>
  <si>
    <t>Entry date</t>
  </si>
  <si>
    <t>Expiration</t>
  </si>
  <si>
    <t>Status</t>
  </si>
  <si>
    <t>Close date</t>
  </si>
  <si>
    <t>Close price</t>
  </si>
  <si>
    <t>Open commission</t>
  </si>
  <si>
    <t>Close commission</t>
  </si>
  <si>
    <t>Collateral</t>
  </si>
  <si>
    <t>Net P/L</t>
  </si>
  <si>
    <t>Days</t>
  </si>
  <si>
    <t>Return</t>
  </si>
  <si>
    <t>Annualized</t>
  </si>
  <si>
    <t>helper_capital_days</t>
  </si>
  <si>
    <t>helper_cash_premium</t>
  </si>
  <si>
    <t>KO</t>
  </si>
  <si>
    <t>CSP</t>
  </si>
  <si>
    <t>expired</t>
  </si>
  <si>
    <t>assigned</t>
  </si>
  <si>
    <t>CC</t>
  </si>
  <si>
    <t>open</t>
  </si>
  <si>
    <t>AMD</t>
  </si>
  <si>
    <t>closed</t>
  </si>
  <si>
    <t>Your wheel, at a glance</t>
  </si>
  <si>
    <t>Everything on this page is calculated from the Trades sheet. Nothing to type here except tickers in the table below.</t>
  </si>
  <si>
    <t>PREMIUM COLLECTED</t>
  </si>
  <si>
    <t>REALIZED P/L</t>
  </si>
  <si>
    <t>WIN RATE</t>
  </si>
  <si>
    <t>ANNUALIZED (WEIGHTED)</t>
  </si>
  <si>
    <t>OPEN TRADES</t>
  </si>
  <si>
    <t>CAPITAL AT WORK</t>
  </si>
  <si>
    <t>By ticker</t>
  </si>
  <si>
    <t>Trades</t>
  </si>
  <si>
    <t>Premium collected</t>
  </si>
  <si>
    <t>Realized P/L</t>
  </si>
  <si>
    <t>Open trades</t>
  </si>
  <si>
    <t>Premium by month (entry date)</t>
  </si>
  <si>
    <t>Year</t>
  </si>
  <si>
    <t>Month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</si>
  <si>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</si>
  <si>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</si>
  <si>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</si>
  <si>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</si>
  <si>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</si>
  <si>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</si>
  <si>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</si>
  <si>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</si>
  <si>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</si>
  <si>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</si>
  <si>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</si>
  <si>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</si>
  <si>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Annualized (weighted) = total realized P/L ÷ total capital-days × 365, the same basis YieldCove uses. Educational tool, not investment advice.</t>
  </si>
  <si>
    <t>How to use this tracker</t>
  </si>
  <si>
    <t>One row per option trade. Type in the white columns; the grey columns calculate themselves.</t>
  </si>
  <si>
    <t/>
  </si>
  <si>
    <t>1. Log a trade</t>
  </si>
  <si>
    <t>Ticker: the stock symbol (KO, AMD…).</t>
  </si>
  <si>
    <t>Type: CSP (cash-secured put), CC (covered call), LEAPS_CALL or LEAPS_PUT.</t>
  </si>
  <si>
    <t>Strike, Premium and Close price are per share, as your broker quotes them (1.10 = $110 per contract).</t>
  </si>
  <si>
    <t>Contracts: 1 contract = 100 shares.</t>
  </si>
  <si>
    <t>2. Close it</t>
  </si>
  <si>
    <t>Status: open, closed (bought back: fill in Close date and Close price), expired (worthless, you keep the premium) or assigned (you keep the premium and get the shares or have them called away).</t>
  </si>
  <si>
    <t>Rolled a trade? Close the old row as closed, then add the new contract as a new row.</t>
  </si>
  <si>
    <t>3. Read the summary</t>
  </si>
  <si>
    <t>Wheel summary adds up premium, realized P/L, win rate and an annualized return that weighs each trade by its capital and days at risk.</t>
  </si>
  <si>
    <t>4. Outgrow the spreadsheet in one click</t>
  </si>
  <si>
    <t>When you want live prices, assignment-to-shares cost basis, roll chains and Canadian ACB, import this file into YieldCove: Positions → Import → choose this file. The columns already match.</t>
  </si>
  <si>
    <t>https://yieldcove.com/en/tools/wheel-spreadsheet</t>
  </si>
  <si>
    <t>Delete the example rows before importing, or untick them in the import preview.</t>
  </si>
  <si>
    <t>Version 2026.10 · Free to use and share. Educational tool, not investment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</si>
</sst>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yyyy-mm-dd"/>
    <numFmt numFmtId="165" formatCode="&quot;$&quot;#,##0;-&quot;$&quot;#,##0"/>
    <numFmt numFmtId="166" formatCode="&quot;$&quot;#,##0.00;-&quot;$&quot;#,##0.00"/>
    <numFmt numFmtId="167" formatCode="0.0%"/>
  </numFmts>
  <fonts count="19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b/>
      <color rgb="FF9FE7E9"/>
      <sz val="11"/>
      <name val="Calibri"/>
    </font>
    <font>
      <b/>
      <i/>
      <color rgb="FF5B6B70"/>
      <sz val="11"/>
      <name val="Calibri"/>
    </font>
    <font>
      <i/>
      <color rgb="FF5B6B70"/>
      <sz val="11"/>
      <name val="Calibri"/>
    </font>
    <font>
      <color rgb="FF0F2A30"/>
      <sz val="11"/>
      <name val="Calibri"/>
    </font>
    <font>
      <b/>
      <color rgb="FF0F2A30"/>
      <sz val="11"/>
      <name val="Calibri"/>
    </font>
    <font>
      <b/>
      <color rgb="FF0F2A30"/>
      <sz val="20"/>
      <name val="Calibri"/>
    </font>
    <font>
      <color rgb="FF5B6B70"/>
      <sz val="11"/>
      <name val="Calibri"/>
    </font>
    <font>
      <b/>
      <color rgb="FF9FE7E9"/>
      <sz val="9"/>
      <name val="Calibri"/>
    </font>
    <font>
      <b/>
      <color rgb="FF9A6A00"/>
      <sz val="22"/>
      <name val="Calibri"/>
    </font>
    <font>
      <b/>
      <color rgb="FFFFFFFF"/>
      <sz val="22"/>
      <name val="Calibri"/>
    </font>
    <font>
      <b/>
      <color rgb="FF0F2A30"/>
      <sz val="13"/>
      <name val="Calibri"/>
    </font>
    <font>
      <color rgb="FF9A6A00"/>
      <sz val="11"/>
      <name val="Calibri"/>
    </font>
    <font>
      <color rgb="FF5B6B70"/>
      <sz val="9"/>
      <name val="Calibri"/>
    </font>
    <font>
      <b/>
      <color rgb="FF0F2A30"/>
      <sz val="18"/>
      <name val="Calibri"/>
    </font>
    <font>
      <b/>
      <color rgb="FF0A7280"/>
      <sz val="12"/>
      <name val="Calibri"/>
    </font>
    <font>
      <u/>
      <color rgb="FF0A7280"/>
      <sz val="11"/>
      <name val="Calibri"/>
    </font>
    <font>
      <i/>
      <color rgb="FF5B6B70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A7280"/>
      </patternFill>
    </fill>
    <fill>
      <patternFill patternType="solid">
        <fgColor rgb="FF0F2A30"/>
      </patternFill>
    </fill>
    <fill>
      <patternFill patternType="solid">
        <fgColor rgb="FFF3F7F8"/>
      </patternFill>
    </fill>
  </fills>
  <borders count="3">
    <border>
      <left/>
      <right/>
      <top/>
      <bottom/>
      <diagonal/>
    </border>
    <border>
      <left style="thin">
        <color rgb="FFD9E3E6"/>
      </left>
      <right style="thin">
        <color rgb="FFD9E3E6"/>
      </right>
      <top style="thin">
        <color rgb="FFD9E3E6"/>
      </top>
      <bottom style="thin">
        <color rgb="FFD9E3E6"/>
      </bottom>
      <diagonal/>
    </border>
    <border>
      <left/>
      <right/>
      <top/>
      <bottom style="thin">
        <color rgb="FFD9E3E6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right" vertical="center"/>
    </xf>
    <xf numFmtId="1" fontId="4" fillId="0" borderId="2" xfId="0" applyNumberFormat="1" applyFont="1" applyBorder="1" applyAlignment="1">
      <alignment horizontal="right" vertical="center"/>
    </xf>
    <xf numFmtId="164" fontId="4" fillId="0" borderId="2" xfId="0" applyNumberFormat="1" applyFont="1" applyBorder="1" applyAlignment="1">
      <alignment horizontal="right" vertical="center"/>
    </xf>
    <xf numFmtId="165" fontId="5" fillId="4" borderId="2" xfId="0" applyNumberFormat="1" applyFont="1" applyFill="1" applyBorder="1" applyAlignment="1">
      <alignment horizontal="right" vertical="center"/>
    </xf>
    <xf numFmtId="166" fontId="5" fillId="4" borderId="2" xfId="0" applyNumberFormat="1" applyFont="1" applyFill="1" applyBorder="1" applyAlignment="1">
      <alignment horizontal="right" vertical="center"/>
    </xf>
    <xf numFmtId="1" fontId="5" fillId="4" borderId="2" xfId="0" applyNumberFormat="1" applyFont="1" applyFill="1" applyBorder="1" applyAlignment="1">
      <alignment horizontal="right" vertical="center"/>
    </xf>
    <xf numFmtId="167" fontId="5" fillId="4" borderId="2" xfId="0" applyNumberFormat="1" applyFont="1" applyFill="1" applyBorder="1" applyAlignment="1">
      <alignment horizontal="right" vertical="center"/>
    </xf>
    <xf numFmtId="0" fontId="6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right" vertical="center"/>
    </xf>
    <xf numFmtId="1" fontId="5" fillId="0" borderId="2" xfId="0" applyNumberFormat="1" applyFont="1" applyBorder="1" applyAlignment="1">
      <alignment horizontal="right" vertical="center"/>
    </xf>
    <xf numFmtId="164" fontId="5" fillId="0" borderId="2" xfId="0" applyNumberFormat="1" applyFont="1" applyBorder="1" applyAlignment="1">
      <alignment horizontal="right" vertical="center"/>
    </xf>
    <xf numFmtId="0" fontId="7" fillId="0" borderId="0" xfId="0" applyFont="1"/>
    <xf numFmtId="0" fontId="8" fillId="0" borderId="0" xfId="0" applyFont="1" applyAlignment="1">
      <alignment vertical="top" wrapText="1"/>
    </xf>
    <xf numFmtId="0" fontId="9" fillId="3" borderId="0" xfId="0" applyFont="1" applyFill="1" applyAlignment="1">
      <alignment horizontal="left" vertical="bottom" indent="1"/>
    </xf>
    <xf numFmtId="166" fontId="10" fillId="3" borderId="0" xfId="0" applyNumberFormat="1" applyFont="1" applyFill="1" applyAlignment="1">
      <alignment horizontal="left" vertical="center" indent="1"/>
    </xf>
    <xf numFmtId="166" fontId="11" fillId="3" borderId="0" xfId="0" applyNumberFormat="1" applyFont="1" applyFill="1" applyAlignment="1">
      <alignment horizontal="left" vertical="center" indent="1"/>
    </xf>
    <xf numFmtId="167" fontId="11" fillId="3" borderId="0" xfId="0" applyNumberFormat="1" applyFont="1" applyFill="1" applyAlignment="1">
      <alignment horizontal="left" vertical="center" indent="1"/>
    </xf>
    <xf numFmtId="1" fontId="11" fillId="3" borderId="0" xfId="0" applyNumberFormat="1" applyFont="1" applyFill="1" applyAlignment="1">
      <alignment horizontal="left" vertical="center" indent="1"/>
    </xf>
    <xf numFmtId="165" fontId="11" fillId="3" borderId="0" xfId="0" applyNumberFormat="1" applyFont="1" applyFill="1" applyAlignment="1">
      <alignment horizontal="left" vertical="center" indent="1"/>
    </xf>
    <xf numFmtId="0" fontId="12" fillId="0" borderId="0" xfId="0" applyFont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 vertical="center"/>
    </xf>
    <xf numFmtId="0" fontId="6" fillId="0" borderId="2" xfId="0" applyFont="1" applyBorder="1"/>
    <xf numFmtId="1" fontId="0" fillId="0" borderId="2" xfId="0" applyNumberFormat="1" applyBorder="1" applyAlignment="1">
      <alignment horizontal="right"/>
    </xf>
    <xf numFmtId="166" fontId="13" fillId="0" borderId="2" xfId="0" applyNumberFormat="1" applyFont="1" applyBorder="1" applyAlignment="1">
      <alignment horizontal="right"/>
    </xf>
    <xf numFmtId="166" fontId="0" fillId="0" borderId="2" xfId="0" applyNumberFormat="1" applyBorder="1" applyAlignment="1">
      <alignment horizontal="right"/>
    </xf>
    <xf numFmtId="0" fontId="6" fillId="4" borderId="2" xfId="0" applyFont="1" applyFill="1" applyBorder="1"/>
    <xf numFmtId="1" fontId="0" fillId="4" borderId="2" xfId="0" applyNumberFormat="1" applyFill="1" applyBorder="1" applyAlignment="1">
      <alignment horizontal="right"/>
    </xf>
    <xf numFmtId="166" fontId="13" fillId="4" borderId="2" xfId="0" applyNumberFormat="1" applyFont="1" applyFill="1" applyBorder="1" applyAlignment="1">
      <alignment horizontal="right"/>
    </xf>
    <xf numFmtId="166" fontId="0" fillId="4" borderId="2" xfId="0" applyNumberFormat="1" applyFill="1" applyBorder="1" applyAlignment="1">
      <alignment horizontal="right"/>
    </xf>
    <xf numFmtId="0" fontId="8" fillId="0" borderId="0" xfId="0" applyFont="1" applyAlignment="1">
      <alignment horizontal="right"/>
    </xf>
    <xf numFmtId="1" fontId="6" fillId="0" borderId="1" xfId="0" applyNumberFormat="1" applyFont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0" fontId="0" fillId="0" borderId="2" xfId="0" applyBorder="1"/>
    <xf numFmtId="165" fontId="13" fillId="0" borderId="2" xfId="0" applyNumberFormat="1" applyFont="1" applyBorder="1"/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7" fillId="0" borderId="0" xfId="0" applyFont="1"/>
    <xf numFmtId="0" fontId="18" fillId="0" borderId="0" xfId="0" applyFont="1" applyAlignment="1">
      <alignment vertical="top" wrapText="1"/>
    </xf>
  </cellXfs>
  <cellStyles count="1">
    <cellStyle name="Normal" xfId="0" builtinId="0"/>
  </cellStyles>
  <dxfs count="14">
    <dxf>
      <font>
        <b/>
        <color rgb="FF0E7A3E"/>
      </font>
    </dxf>
    <dxf>
      <font>
        <b/>
        <color rgb="FFBE123C"/>
      </font>
    </dxf>
    <dxf>
      <font>
        <color rgb="FF0E7A3E"/>
      </font>
    </dxf>
    <dxf>
      <font>
        <color rgb="FFBE123C"/>
      </font>
    </dxf>
    <dxf>
      <font>
        <b/>
        <color rgb="FF075E68"/>
      </font>
      <fill>
        <patternFill patternType="solid">
          <bgColor rgb="FFDDF6F7"/>
        </patternFill>
      </fill>
    </dxf>
    <dxf>
      <font>
        <b/>
        <color rgb="FF334155"/>
      </font>
      <fill>
        <patternFill patternType="solid">
          <bgColor rgb="FFEFF2F4"/>
        </patternFill>
      </fill>
    </dxf>
    <dxf>
      <font>
        <b/>
        <color rgb="FF9A6A00"/>
      </font>
      <fill>
        <patternFill patternType="solid">
          <bgColor rgb="FFFDF3DC"/>
        </patternFill>
      </fill>
    </dxf>
    <dxf>
      <font>
        <b/>
        <color rgb="FF6D28D9"/>
      </font>
      <fill>
        <patternFill patternType="solid">
          <bgColor rgb="FFF1EAFE"/>
        </patternFill>
      </fill>
    </dxf>
    <dxf>
      <font>
        <color rgb="FF6EE7A0"/>
      </font>
    </dxf>
    <dxf>
      <font>
        <color rgb="FFFDA4AF"/>
      </font>
    </dxf>
    <dxf>
      <font>
        <color rgb="FF6EE7A0"/>
      </font>
    </dxf>
    <dxf>
      <font>
        <color rgb="FFFDA4AF"/>
      </font>
    </dxf>
    <dxf>
      <font>
        <b/>
        <color rgb="FF0E7A3E"/>
      </font>
    </dxf>
    <dxf>
      <font>
        <b/>
        <color rgb="FFBE123C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yieldcove.com/en/tools/wheel-spreadsh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A7280"/>
    <pageSetUpPr fitToPage="1"/>
  </sheetPr>
  <dimension ref="A1:S501"/>
  <sheetViews>
    <sheetView workbookViewId="0" zoomScale="110">
      <pane xSplit="1" ySplit="1" topLeftCell="B2" activePane="bottomRight" state="frozen"/>
      <selection pane="bottomRight"/>
    </sheetView>
  </sheetViews>
  <sheetFormatPr defaultRowHeight="18" outlineLevelRow="0" outlineLevelCol="0" x14ac:dyDescent="55" customHeight="1"/>
  <cols>
    <col min="1" max="1" width="11" customWidth="1"/>
    <col min="2" max="2" width="12" customWidth="1"/>
    <col min="3" max="3" width="14" customWidth="1"/>
    <col min="4" max="4" width="12" customWidth="1"/>
    <col min="5" max="5" width="11" customWidth="1"/>
    <col min="6" max="7" width="15" customWidth="1"/>
    <col min="8" max="8" width="12" customWidth="1"/>
    <col min="9" max="9" width="16" customWidth="1"/>
    <col min="10" max="10" width="13" customWidth="1"/>
    <col min="11" max="12" width="17" customWidth="1"/>
    <col min="13" max="13" width="14" customWidth="1"/>
    <col min="14" max="14" width="13" customWidth="1"/>
    <col min="15" max="15" width="8" customWidth="1"/>
    <col min="16" max="16" width="11" customWidth="1"/>
    <col min="17" max="17" width="13" customWidth="1"/>
    <col min="18" max="19" width="6" hidden="1" customWidth="1"/>
  </cols>
  <sheetData>
    <row r="1" ht="30" customHeight="1" spans="1:19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</row>
    <row r="2" spans="1:19" x14ac:dyDescent="0.25">
      <c r="A2" s="4" t="s">
        <v>19</v>
      </c>
      <c r="B2" s="5" t="s">
        <v>20</v>
      </c>
      <c r="C2" s="6">
        <v>70</v>
      </c>
      <c r="D2" s="6">
        <v>0.95</v>
      </c>
      <c r="E2" s="7">
        <v>1</v>
      </c>
      <c r="F2" s="8">
        <v>46209</v>
      </c>
      <c r="G2" s="8">
        <v>46241</v>
      </c>
      <c r="H2" s="5" t="s">
        <v>21</v>
      </c>
      <c r="I2" s="8">
        <v>46241</v>
      </c>
      <c r="J2" s="6"/>
      <c r="K2" s="6">
        <v>0.65</v>
      </c>
      <c r="L2" s="6">
        <v>0</v>
      </c>
      <c r="M2" s="9">
        <f>IF($A2="","",IF(LEFT($B2,5)="LEAPS",$D2,$C2)*100*$E2)</f>
      </c>
      <c r="N2" s="10">
        <f>IF(OR($A2="",ISNUMBER(MATCH(LOWER($H2),{"open",""},0))),"",IF(LEFT($B2,5)="LEAPS",-1,1)*($D2-IF(ISNUMBER(MATCH(LOWER($H2),{"closed"},0)),$J2,0))*100*$E2-$K2-$L2)</f>
      </c>
      <c r="O2" s="11">
        <f>IF(OR($A2="",$F2=""),"",MAX(1,IF(ISNUMBER(MATCH(LOWER($H2),{"open",""},0)),MIN(TODAY(),$G2),IF($I2="",$G2,$I2))-$F2))</f>
      </c>
      <c r="P2" s="12">
        <f>IF(OR($N2="",$M2="",$M2=0),"",$N2/$M2)</f>
      </c>
      <c r="Q2" s="12">
        <f>IF(OR($P2="",$O2=""),"",$P2*365/$O2)</f>
      </c>
      <c r="R2">
        <f>IF($N2="",0,$M2*$O2)</f>
      </c>
      <c r="S2">
        <f>IF(OR($A2="",LEFT($B2,5)="LEAPS"),0,$D2*100*$E2)</f>
      </c>
    </row>
    <row r="3" spans="1:19" x14ac:dyDescent="0.25">
      <c r="A3" s="4" t="s">
        <v>19</v>
      </c>
      <c r="B3" s="5" t="s">
        <v>20</v>
      </c>
      <c r="C3" s="6">
        <v>70</v>
      </c>
      <c r="D3" s="6">
        <v>1.1</v>
      </c>
      <c r="E3" s="7">
        <v>1</v>
      </c>
      <c r="F3" s="8">
        <v>46244</v>
      </c>
      <c r="G3" s="8">
        <v>46276</v>
      </c>
      <c r="H3" s="5" t="s">
        <v>22</v>
      </c>
      <c r="I3" s="8">
        <v>46276</v>
      </c>
      <c r="J3" s="6"/>
      <c r="K3" s="6">
        <v>0.65</v>
      </c>
      <c r="L3" s="6">
        <v>0</v>
      </c>
      <c r="M3" s="9">
        <f>IF($A3="","",IF(LEFT($B3,5)="LEAPS",$D3,$C3)*100*$E3)</f>
      </c>
      <c r="N3" s="10">
        <f>IF(OR($A3="",ISNUMBER(MATCH(LOWER($H3),{"open",""},0))),"",IF(LEFT($B3,5)="LEAPS",-1,1)*($D3-IF(ISNUMBER(MATCH(LOWER($H3),{"closed"},0)),$J3,0))*100*$E3-$K3-$L3)</f>
      </c>
      <c r="O3" s="11">
        <f>IF(OR($A3="",$F3=""),"",MAX(1,IF(ISNUMBER(MATCH(LOWER($H3),{"open",""},0)),MIN(TODAY(),$G3),IF($I3="",$G3,$I3))-$F3))</f>
      </c>
      <c r="P3" s="12">
        <f>IF(OR($N3="",$M3="",$M3=0),"",$N3/$M3)</f>
      </c>
      <c r="Q3" s="12">
        <f>IF(OR($P3="",$O3=""),"",$P3*365/$O3)</f>
      </c>
      <c r="R3">
        <f>IF($N3="",0,$M3*$O3)</f>
      </c>
      <c r="S3">
        <f>IF(OR($A3="",LEFT($B3,5)="LEAPS"),0,$D3*100*$E3)</f>
      </c>
    </row>
    <row r="4" spans="1:19" x14ac:dyDescent="0.25">
      <c r="A4" s="4" t="s">
        <v>19</v>
      </c>
      <c r="B4" s="5" t="s">
        <v>23</v>
      </c>
      <c r="C4" s="6">
        <v>72</v>
      </c>
      <c r="D4" s="6">
        <v>0.8</v>
      </c>
      <c r="E4" s="7">
        <v>1</v>
      </c>
      <c r="F4" s="8">
        <v>46279</v>
      </c>
      <c r="G4" s="8">
        <v>46311</v>
      </c>
      <c r="H4" s="5" t="s">
        <v>24</v>
      </c>
      <c r="I4" s="8"/>
      <c r="J4" s="6"/>
      <c r="K4" s="6">
        <v>0.65</v>
      </c>
      <c r="L4" s="6"/>
      <c r="M4" s="9">
        <f>IF($A4="","",IF(LEFT($B4,5)="LEAPS",$D4,$C4)*100*$E4)</f>
      </c>
      <c r="N4" s="10">
        <f>IF(OR($A4="",ISNUMBER(MATCH(LOWER($H4),{"open",""},0))),"",IF(LEFT($B4,5)="LEAPS",-1,1)*($D4-IF(ISNUMBER(MATCH(LOWER($H4),{"closed"},0)),$J4,0))*100*$E4-$K4-$L4)</f>
      </c>
      <c r="O4" s="11">
        <f>IF(OR($A4="",$F4=""),"",MAX(1,IF(ISNUMBER(MATCH(LOWER($H4),{"open",""},0)),MIN(TODAY(),$G4),IF($I4="",$G4,$I4))-$F4))</f>
      </c>
      <c r="P4" s="12">
        <f>IF(OR($N4="",$M4="",$M4=0),"",$N4/$M4)</f>
      </c>
      <c r="Q4" s="12">
        <f>IF(OR($P4="",$O4=""),"",$P4*365/$O4)</f>
      </c>
      <c r="R4">
        <f>IF($N4="",0,$M4*$O4)</f>
      </c>
      <c r="S4">
        <f>IF(OR($A4="",LEFT($B4,5)="LEAPS"),0,$D4*100*$E4)</f>
      </c>
    </row>
    <row r="5" spans="1:19" x14ac:dyDescent="0.25">
      <c r="A5" s="4" t="s">
        <v>25</v>
      </c>
      <c r="B5" s="5" t="s">
        <v>20</v>
      </c>
      <c r="C5" s="6">
        <v>150</v>
      </c>
      <c r="D5" s="6">
        <v>3.4</v>
      </c>
      <c r="E5" s="7">
        <v>1</v>
      </c>
      <c r="F5" s="8">
        <v>46251</v>
      </c>
      <c r="G5" s="8">
        <v>46283</v>
      </c>
      <c r="H5" s="5" t="s">
        <v>26</v>
      </c>
      <c r="I5" s="8">
        <v>46266</v>
      </c>
      <c r="J5" s="6">
        <v>1.2</v>
      </c>
      <c r="K5" s="6">
        <v>0.65</v>
      </c>
      <c r="L5" s="6">
        <v>0.65</v>
      </c>
      <c r="M5" s="9">
        <f>IF($A5="","",IF(LEFT($B5,5)="LEAPS",$D5,$C5)*100*$E5)</f>
      </c>
      <c r="N5" s="10">
        <f>IF(OR($A5="",ISNUMBER(MATCH(LOWER($H5),{"open",""},0))),"",IF(LEFT($B5,5)="LEAPS",-1,1)*($D5-IF(ISNUMBER(MATCH(LOWER($H5),{"closed"},0)),$J5,0))*100*$E5-$K5-$L5)</f>
      </c>
      <c r="O5" s="11">
        <f>IF(OR($A5="",$F5=""),"",MAX(1,IF(ISNUMBER(MATCH(LOWER($H5),{"open",""},0)),MIN(TODAY(),$G5),IF($I5="",$G5,$I5))-$F5))</f>
      </c>
      <c r="P5" s="12">
        <f>IF(OR($N5="",$M5="",$M5=0),"",$N5/$M5)</f>
      </c>
      <c r="Q5" s="12">
        <f>IF(OR($P5="",$O5=""),"",$P5*365/$O5)</f>
      </c>
      <c r="R5">
        <f>IF($N5="",0,$M5*$O5)</f>
      </c>
      <c r="S5">
        <f>IF(OR($A5="",LEFT($B5,5)="LEAPS"),0,$D5*100*$E5)</f>
      </c>
    </row>
    <row r="6" spans="1:19" x14ac:dyDescent="0.25">
      <c r="A6" s="4" t="s">
        <v>25</v>
      </c>
      <c r="B6" s="5" t="s">
        <v>20</v>
      </c>
      <c r="C6" s="6">
        <v>145</v>
      </c>
      <c r="D6" s="6">
        <v>3.1</v>
      </c>
      <c r="E6" s="7">
        <v>1</v>
      </c>
      <c r="F6" s="8">
        <v>46300</v>
      </c>
      <c r="G6" s="8">
        <v>46346</v>
      </c>
      <c r="H6" s="5" t="s">
        <v>24</v>
      </c>
      <c r="I6" s="8"/>
      <c r="J6" s="6"/>
      <c r="K6" s="6">
        <v>0.65</v>
      </c>
      <c r="L6" s="6"/>
      <c r="M6" s="9">
        <f>IF($A6="","",IF(LEFT($B6,5)="LEAPS",$D6,$C6)*100*$E6)</f>
      </c>
      <c r="N6" s="10">
        <f>IF(OR($A6="",ISNUMBER(MATCH(LOWER($H6),{"open",""},0))),"",IF(LEFT($B6,5)="LEAPS",-1,1)*($D6-IF(ISNUMBER(MATCH(LOWER($H6),{"closed"},0)),$J6,0))*100*$E6-$K6-$L6)</f>
      </c>
      <c r="O6" s="11">
        <f>IF(OR($A6="",$F6=""),"",MAX(1,IF(ISNUMBER(MATCH(LOWER($H6),{"open",""},0)),MIN(TODAY(),$G6),IF($I6="",$G6,$I6))-$F6))</f>
      </c>
      <c r="P6" s="12">
        <f>IF(OR($N6="",$M6="",$M6=0),"",$N6/$M6)</f>
      </c>
      <c r="Q6" s="12">
        <f>IF(OR($P6="",$O6=""),"",$P6*365/$O6)</f>
      </c>
      <c r="R6">
        <f>IF($N6="",0,$M6*$O6)</f>
      </c>
      <c r="S6">
        <f>IF(OR($A6="",LEFT($B6,5)="LEAPS"),0,$D6*100*$E6)</f>
      </c>
    </row>
    <row r="7" spans="1:19" x14ac:dyDescent="0.25">
      <c r="A7" s="13"/>
      <c r="B7" s="14"/>
      <c r="C7" s="15"/>
      <c r="D7" s="15"/>
      <c r="E7" s="16"/>
      <c r="F7" s="17"/>
      <c r="G7" s="17"/>
      <c r="H7" s="14"/>
      <c r="I7" s="17"/>
      <c r="J7" s="15"/>
      <c r="K7" s="15"/>
      <c r="L7" s="15"/>
      <c r="M7" s="9">
        <f>IF($A7="","",IF(LEFT($B7,5)="LEAPS",$D7,$C7)*100*$E7)</f>
      </c>
      <c r="N7" s="10">
        <f>IF(OR($A7="",ISNUMBER(MATCH(LOWER($H7),{"open",""},0))),"",IF(LEFT($B7,5)="LEAPS",-1,1)*($D7-IF(ISNUMBER(MATCH(LOWER($H7),{"closed"},0)),$J7,0))*100*$E7-$K7-$L7)</f>
      </c>
      <c r="O7" s="11">
        <f>IF(OR($A7="",$F7=""),"",MAX(1,IF(ISNUMBER(MATCH(LOWER($H7),{"open",""},0)),MIN(TODAY(),$G7),IF($I7="",$G7,$I7))-$F7))</f>
      </c>
      <c r="P7" s="12">
        <f>IF(OR($N7="",$M7="",$M7=0),"",$N7/$M7)</f>
      </c>
      <c r="Q7" s="12">
        <f>IF(OR($P7="",$O7=""),"",$P7*365/$O7)</f>
      </c>
      <c r="R7">
        <f>IF($N7="",0,$M7*$O7)</f>
      </c>
      <c r="S7">
        <f>IF(OR($A7="",LEFT($B7,5)="LEAPS"),0,$D7*100*$E7)</f>
      </c>
    </row>
    <row r="8" spans="1:19" x14ac:dyDescent="0.25">
      <c r="A8" s="13"/>
      <c r="B8" s="14"/>
      <c r="C8" s="15"/>
      <c r="D8" s="15"/>
      <c r="E8" s="16"/>
      <c r="F8" s="17"/>
      <c r="G8" s="17"/>
      <c r="H8" s="14"/>
      <c r="I8" s="17"/>
      <c r="J8" s="15"/>
      <c r="K8" s="15"/>
      <c r="L8" s="15"/>
      <c r="M8" s="9">
        <f>IF($A8="","",IF(LEFT($B8,5)="LEAPS",$D8,$C8)*100*$E8)</f>
      </c>
      <c r="N8" s="10">
        <f>IF(OR($A8="",ISNUMBER(MATCH(LOWER($H8),{"open",""},0))),"",IF(LEFT($B8,5)="LEAPS",-1,1)*($D8-IF(ISNUMBER(MATCH(LOWER($H8),{"closed"},0)),$J8,0))*100*$E8-$K8-$L8)</f>
      </c>
      <c r="O8" s="11">
        <f>IF(OR($A8="",$F8=""),"",MAX(1,IF(ISNUMBER(MATCH(LOWER($H8),{"open",""},0)),MIN(TODAY(),$G8),IF($I8="",$G8,$I8))-$F8))</f>
      </c>
      <c r="P8" s="12">
        <f>IF(OR($N8="",$M8="",$M8=0),"",$N8/$M8)</f>
      </c>
      <c r="Q8" s="12">
        <f>IF(OR($P8="",$O8=""),"",$P8*365/$O8)</f>
      </c>
      <c r="R8">
        <f>IF($N8="",0,$M8*$O8)</f>
      </c>
      <c r="S8">
        <f>IF(OR($A8="",LEFT($B8,5)="LEAPS"),0,$D8*100*$E8)</f>
      </c>
    </row>
    <row r="9" spans="1:19" x14ac:dyDescent="0.25">
      <c r="A9" s="13"/>
      <c r="B9" s="14"/>
      <c r="C9" s="15"/>
      <c r="D9" s="15"/>
      <c r="E9" s="16"/>
      <c r="F9" s="17"/>
      <c r="G9" s="17"/>
      <c r="H9" s="14"/>
      <c r="I9" s="17"/>
      <c r="J9" s="15"/>
      <c r="K9" s="15"/>
      <c r="L9" s="15"/>
      <c r="M9" s="9">
        <f>IF($A9="","",IF(LEFT($B9,5)="LEAPS",$D9,$C9)*100*$E9)</f>
      </c>
      <c r="N9" s="10">
        <f>IF(OR($A9="",ISNUMBER(MATCH(LOWER($H9),{"open",""},0))),"",IF(LEFT($B9,5)="LEAPS",-1,1)*($D9-IF(ISNUMBER(MATCH(LOWER($H9),{"closed"},0)),$J9,0))*100*$E9-$K9-$L9)</f>
      </c>
      <c r="O9" s="11">
        <f>IF(OR($A9="",$F9=""),"",MAX(1,IF(ISNUMBER(MATCH(LOWER($H9),{"open",""},0)),MIN(TODAY(),$G9),IF($I9="",$G9,$I9))-$F9))</f>
      </c>
      <c r="P9" s="12">
        <f>IF(OR($N9="",$M9="",$M9=0),"",$N9/$M9)</f>
      </c>
      <c r="Q9" s="12">
        <f>IF(OR($P9="",$O9=""),"",$P9*365/$O9)</f>
      </c>
      <c r="R9">
        <f>IF($N9="",0,$M9*$O9)</f>
      </c>
      <c r="S9">
        <f>IF(OR($A9="",LEFT($B9,5)="LEAPS"),0,$D9*100*$E9)</f>
      </c>
    </row>
    <row r="10" spans="1:19" x14ac:dyDescent="0.25">
      <c r="A10" s="13"/>
      <c r="B10" s="14"/>
      <c r="C10" s="15"/>
      <c r="D10" s="15"/>
      <c r="E10" s="16"/>
      <c r="F10" s="17"/>
      <c r="G10" s="17"/>
      <c r="H10" s="14"/>
      <c r="I10" s="17"/>
      <c r="J10" s="15"/>
      <c r="K10" s="15"/>
      <c r="L10" s="15"/>
      <c r="M10" s="9">
        <f>IF($A10="","",IF(LEFT($B10,5)="LEAPS",$D10,$C10)*100*$E10)</f>
      </c>
      <c r="N10" s="10">
        <f>IF(OR($A10="",ISNUMBER(MATCH(LOWER($H10),{"open",""},0))),"",IF(LEFT($B10,5)="LEAPS",-1,1)*($D10-IF(ISNUMBER(MATCH(LOWER($H10),{"closed"},0)),$J10,0))*100*$E10-$K10-$L10)</f>
      </c>
      <c r="O10" s="11">
        <f>IF(OR($A10="",$F10=""),"",MAX(1,IF(ISNUMBER(MATCH(LOWER($H10),{"open",""},0)),MIN(TODAY(),$G10),IF($I10="",$G10,$I10))-$F10))</f>
      </c>
      <c r="P10" s="12">
        <f>IF(OR($N10="",$M10="",$M10=0),"",$N10/$M10)</f>
      </c>
      <c r="Q10" s="12">
        <f>IF(OR($P10="",$O10=""),"",$P10*365/$O10)</f>
      </c>
      <c r="R10">
        <f>IF($N10="",0,$M10*$O10)</f>
      </c>
      <c r="S10">
        <f>IF(OR($A10="",LEFT($B10,5)="LEAPS"),0,$D10*100*$E10)</f>
      </c>
    </row>
    <row r="11" spans="1:19" x14ac:dyDescent="0.25">
      <c r="A11" s="13"/>
      <c r="B11" s="14"/>
      <c r="C11" s="15"/>
      <c r="D11" s="15"/>
      <c r="E11" s="16"/>
      <c r="F11" s="17"/>
      <c r="G11" s="17"/>
      <c r="H11" s="14"/>
      <c r="I11" s="17"/>
      <c r="J11" s="15"/>
      <c r="K11" s="15"/>
      <c r="L11" s="15"/>
      <c r="M11" s="9">
        <f>IF($A11="","",IF(LEFT($B11,5)="LEAPS",$D11,$C11)*100*$E11)</f>
      </c>
      <c r="N11" s="10">
        <f>IF(OR($A11="",ISNUMBER(MATCH(LOWER($H11),{"open",""},0))),"",IF(LEFT($B11,5)="LEAPS",-1,1)*($D11-IF(ISNUMBER(MATCH(LOWER($H11),{"closed"},0)),$J11,0))*100*$E11-$K11-$L11)</f>
      </c>
      <c r="O11" s="11">
        <f>IF(OR($A11="",$F11=""),"",MAX(1,IF(ISNUMBER(MATCH(LOWER($H11),{"open",""},0)),MIN(TODAY(),$G11),IF($I11="",$G11,$I11))-$F11))</f>
      </c>
      <c r="P11" s="12">
        <f>IF(OR($N11="",$M11="",$M11=0),"",$N11/$M11)</f>
      </c>
      <c r="Q11" s="12">
        <f>IF(OR($P11="",$O11=""),"",$P11*365/$O11)</f>
      </c>
      <c r="R11">
        <f>IF($N11="",0,$M11*$O11)</f>
      </c>
      <c r="S11">
        <f>IF(OR($A11="",LEFT($B11,5)="LEAPS"),0,$D11*100*$E11)</f>
      </c>
    </row>
    <row r="12" spans="1:19" x14ac:dyDescent="0.25">
      <c r="A12" s="13"/>
      <c r="B12" s="14"/>
      <c r="C12" s="15"/>
      <c r="D12" s="15"/>
      <c r="E12" s="16"/>
      <c r="F12" s="17"/>
      <c r="G12" s="17"/>
      <c r="H12" s="14"/>
      <c r="I12" s="17"/>
      <c r="J12" s="15"/>
      <c r="K12" s="15"/>
      <c r="L12" s="15"/>
      <c r="M12" s="9">
        <f>IF($A12="","",IF(LEFT($B12,5)="LEAPS",$D12,$C12)*100*$E12)</f>
      </c>
      <c r="N12" s="10">
        <f>IF(OR($A12="",ISNUMBER(MATCH(LOWER($H12),{"open",""},0))),"",IF(LEFT($B12,5)="LEAPS",-1,1)*($D12-IF(ISNUMBER(MATCH(LOWER($H12),{"closed"},0)),$J12,0))*100*$E12-$K12-$L12)</f>
      </c>
      <c r="O12" s="11">
        <f>IF(OR($A12="",$F12=""),"",MAX(1,IF(ISNUMBER(MATCH(LOWER($H12),{"open",""},0)),MIN(TODAY(),$G12),IF($I12="",$G12,$I12))-$F12))</f>
      </c>
      <c r="P12" s="12">
        <f>IF(OR($N12="",$M12="",$M12=0),"",$N12/$M12)</f>
      </c>
      <c r="Q12" s="12">
        <f>IF(OR($P12="",$O12=""),"",$P12*365/$O12)</f>
      </c>
      <c r="R12">
        <f>IF($N12="",0,$M12*$O12)</f>
      </c>
      <c r="S12">
        <f>IF(OR($A12="",LEFT($B12,5)="LEAPS"),0,$D12*100*$E12)</f>
      </c>
    </row>
    <row r="13" spans="1:19" x14ac:dyDescent="0.25">
      <c r="A13" s="13"/>
      <c r="B13" s="14"/>
      <c r="C13" s="15"/>
      <c r="D13" s="15"/>
      <c r="E13" s="16"/>
      <c r="F13" s="17"/>
      <c r="G13" s="17"/>
      <c r="H13" s="14"/>
      <c r="I13" s="17"/>
      <c r="J13" s="15"/>
      <c r="K13" s="15"/>
      <c r="L13" s="15"/>
      <c r="M13" s="9">
        <f>IF($A13="","",IF(LEFT($B13,5)="LEAPS",$D13,$C13)*100*$E13)</f>
      </c>
      <c r="N13" s="10">
        <f>IF(OR($A13="",ISNUMBER(MATCH(LOWER($H13),{"open",""},0))),"",IF(LEFT($B13,5)="LEAPS",-1,1)*($D13-IF(ISNUMBER(MATCH(LOWER($H13),{"closed"},0)),$J13,0))*100*$E13-$K13-$L13)</f>
      </c>
      <c r="O13" s="11">
        <f>IF(OR($A13="",$F13=""),"",MAX(1,IF(ISNUMBER(MATCH(LOWER($H13),{"open",""},0)),MIN(TODAY(),$G13),IF($I13="",$G13,$I13))-$F13))</f>
      </c>
      <c r="P13" s="12">
        <f>IF(OR($N13="",$M13="",$M13=0),"",$N13/$M13)</f>
      </c>
      <c r="Q13" s="12">
        <f>IF(OR($P13="",$O13=""),"",$P13*365/$O13)</f>
      </c>
      <c r="R13">
        <f>IF($N13="",0,$M13*$O13)</f>
      </c>
      <c r="S13">
        <f>IF(OR($A13="",LEFT($B13,5)="LEAPS"),0,$D13*100*$E13)</f>
      </c>
    </row>
    <row r="14" spans="1:19" x14ac:dyDescent="0.25">
      <c r="A14" s="13"/>
      <c r="B14" s="14"/>
      <c r="C14" s="15"/>
      <c r="D14" s="15"/>
      <c r="E14" s="16"/>
      <c r="F14" s="17"/>
      <c r="G14" s="17"/>
      <c r="H14" s="14"/>
      <c r="I14" s="17"/>
      <c r="J14" s="15"/>
      <c r="K14" s="15"/>
      <c r="L14" s="15"/>
      <c r="M14" s="9">
        <f>IF($A14="","",IF(LEFT($B14,5)="LEAPS",$D14,$C14)*100*$E14)</f>
      </c>
      <c r="N14" s="10">
        <f>IF(OR($A14="",ISNUMBER(MATCH(LOWER($H14),{"open",""},0))),"",IF(LEFT($B14,5)="LEAPS",-1,1)*($D14-IF(ISNUMBER(MATCH(LOWER($H14),{"closed"},0)),$J14,0))*100*$E14-$K14-$L14)</f>
      </c>
      <c r="O14" s="11">
        <f>IF(OR($A14="",$F14=""),"",MAX(1,IF(ISNUMBER(MATCH(LOWER($H14),{"open",""},0)),MIN(TODAY(),$G14),IF($I14="",$G14,$I14))-$F14))</f>
      </c>
      <c r="P14" s="12">
        <f>IF(OR($N14="",$M14="",$M14=0),"",$N14/$M14)</f>
      </c>
      <c r="Q14" s="12">
        <f>IF(OR($P14="",$O14=""),"",$P14*365/$O14)</f>
      </c>
      <c r="R14">
        <f>IF($N14="",0,$M14*$O14)</f>
      </c>
      <c r="S14">
        <f>IF(OR($A14="",LEFT($B14,5)="LEAPS"),0,$D14*100*$E14)</f>
      </c>
    </row>
    <row r="15" spans="1:19" x14ac:dyDescent="0.25">
      <c r="A15" s="13"/>
      <c r="B15" s="14"/>
      <c r="C15" s="15"/>
      <c r="D15" s="15"/>
      <c r="E15" s="16"/>
      <c r="F15" s="17"/>
      <c r="G15" s="17"/>
      <c r="H15" s="14"/>
      <c r="I15" s="17"/>
      <c r="J15" s="15"/>
      <c r="K15" s="15"/>
      <c r="L15" s="15"/>
      <c r="M15" s="9">
        <f>IF($A15="","",IF(LEFT($B15,5)="LEAPS",$D15,$C15)*100*$E15)</f>
      </c>
      <c r="N15" s="10">
        <f>IF(OR($A15="",ISNUMBER(MATCH(LOWER($H15),{"open",""},0))),"",IF(LEFT($B15,5)="LEAPS",-1,1)*($D15-IF(ISNUMBER(MATCH(LOWER($H15),{"closed"},0)),$J15,0))*100*$E15-$K15-$L15)</f>
      </c>
      <c r="O15" s="11">
        <f>IF(OR($A15="",$F15=""),"",MAX(1,IF(ISNUMBER(MATCH(LOWER($H15),{"open",""},0)),MIN(TODAY(),$G15),IF($I15="",$G15,$I15))-$F15))</f>
      </c>
      <c r="P15" s="12">
        <f>IF(OR($N15="",$M15="",$M15=0),"",$N15/$M15)</f>
      </c>
      <c r="Q15" s="12">
        <f>IF(OR($P15="",$O15=""),"",$P15*365/$O15)</f>
      </c>
      <c r="R15">
        <f>IF($N15="",0,$M15*$O15)</f>
      </c>
      <c r="S15">
        <f>IF(OR($A15="",LEFT($B15,5)="LEAPS"),0,$D15*100*$E15)</f>
      </c>
    </row>
    <row r="16" spans="1:19" x14ac:dyDescent="0.25">
      <c r="A16" s="13"/>
      <c r="B16" s="14"/>
      <c r="C16" s="15"/>
      <c r="D16" s="15"/>
      <c r="E16" s="16"/>
      <c r="F16" s="17"/>
      <c r="G16" s="17"/>
      <c r="H16" s="14"/>
      <c r="I16" s="17"/>
      <c r="J16" s="15"/>
      <c r="K16" s="15"/>
      <c r="L16" s="15"/>
      <c r="M16" s="9">
        <f>IF($A16="","",IF(LEFT($B16,5)="LEAPS",$D16,$C16)*100*$E16)</f>
      </c>
      <c r="N16" s="10">
        <f>IF(OR($A16="",ISNUMBER(MATCH(LOWER($H16),{"open",""},0))),"",IF(LEFT($B16,5)="LEAPS",-1,1)*($D16-IF(ISNUMBER(MATCH(LOWER($H16),{"closed"},0)),$J16,0))*100*$E16-$K16-$L16)</f>
      </c>
      <c r="O16" s="11">
        <f>IF(OR($A16="",$F16=""),"",MAX(1,IF(ISNUMBER(MATCH(LOWER($H16),{"open",""},0)),MIN(TODAY(),$G16),IF($I16="",$G16,$I16))-$F16))</f>
      </c>
      <c r="P16" s="12">
        <f>IF(OR($N16="",$M16="",$M16=0),"",$N16/$M16)</f>
      </c>
      <c r="Q16" s="12">
        <f>IF(OR($P16="",$O16=""),"",$P16*365/$O16)</f>
      </c>
      <c r="R16">
        <f>IF($N16="",0,$M16*$O16)</f>
      </c>
      <c r="S16">
        <f>IF(OR($A16="",LEFT($B16,5)="LEAPS"),0,$D16*100*$E16)</f>
      </c>
    </row>
    <row r="17" spans="1:19" x14ac:dyDescent="0.25">
      <c r="A17" s="13"/>
      <c r="B17" s="14"/>
      <c r="C17" s="15"/>
      <c r="D17" s="15"/>
      <c r="E17" s="16"/>
      <c r="F17" s="17"/>
      <c r="G17" s="17"/>
      <c r="H17" s="14"/>
      <c r="I17" s="17"/>
      <c r="J17" s="15"/>
      <c r="K17" s="15"/>
      <c r="L17" s="15"/>
      <c r="M17" s="9">
        <f>IF($A17="","",IF(LEFT($B17,5)="LEAPS",$D17,$C17)*100*$E17)</f>
      </c>
      <c r="N17" s="10">
        <f>IF(OR($A17="",ISNUMBER(MATCH(LOWER($H17),{"open",""},0))),"",IF(LEFT($B17,5)="LEAPS",-1,1)*($D17-IF(ISNUMBER(MATCH(LOWER($H17),{"closed"},0)),$J17,0))*100*$E17-$K17-$L17)</f>
      </c>
      <c r="O17" s="11">
        <f>IF(OR($A17="",$F17=""),"",MAX(1,IF(ISNUMBER(MATCH(LOWER($H17),{"open",""},0)),MIN(TODAY(),$G17),IF($I17="",$G17,$I17))-$F17))</f>
      </c>
      <c r="P17" s="12">
        <f>IF(OR($N17="",$M17="",$M17=0),"",$N17/$M17)</f>
      </c>
      <c r="Q17" s="12">
        <f>IF(OR($P17="",$O17=""),"",$P17*365/$O17)</f>
      </c>
      <c r="R17">
        <f>IF($N17="",0,$M17*$O17)</f>
      </c>
      <c r="S17">
        <f>IF(OR($A17="",LEFT($B17,5)="LEAPS"),0,$D17*100*$E17)</f>
      </c>
    </row>
    <row r="18" spans="1:19" x14ac:dyDescent="0.25">
      <c r="A18" s="13"/>
      <c r="B18" s="14"/>
      <c r="C18" s="15"/>
      <c r="D18" s="15"/>
      <c r="E18" s="16"/>
      <c r="F18" s="17"/>
      <c r="G18" s="17"/>
      <c r="H18" s="14"/>
      <c r="I18" s="17"/>
      <c r="J18" s="15"/>
      <c r="K18" s="15"/>
      <c r="L18" s="15"/>
      <c r="M18" s="9">
        <f>IF($A18="","",IF(LEFT($B18,5)="LEAPS",$D18,$C18)*100*$E18)</f>
      </c>
      <c r="N18" s="10">
        <f>IF(OR($A18="",ISNUMBER(MATCH(LOWER($H18),{"open",""},0))),"",IF(LEFT($B18,5)="LEAPS",-1,1)*($D18-IF(ISNUMBER(MATCH(LOWER($H18),{"closed"},0)),$J18,0))*100*$E18-$K18-$L18)</f>
      </c>
      <c r="O18" s="11">
        <f>IF(OR($A18="",$F18=""),"",MAX(1,IF(ISNUMBER(MATCH(LOWER($H18),{"open",""},0)),MIN(TODAY(),$G18),IF($I18="",$G18,$I18))-$F18))</f>
      </c>
      <c r="P18" s="12">
        <f>IF(OR($N18="",$M18="",$M18=0),"",$N18/$M18)</f>
      </c>
      <c r="Q18" s="12">
        <f>IF(OR($P18="",$O18=""),"",$P18*365/$O18)</f>
      </c>
      <c r="R18">
        <f>IF($N18="",0,$M18*$O18)</f>
      </c>
      <c r="S18">
        <f>IF(OR($A18="",LEFT($B18,5)="LEAPS"),0,$D18*100*$E18)</f>
      </c>
    </row>
    <row r="19" spans="1:19" x14ac:dyDescent="0.25">
      <c r="A19" s="13"/>
      <c r="B19" s="14"/>
      <c r="C19" s="15"/>
      <c r="D19" s="15"/>
      <c r="E19" s="16"/>
      <c r="F19" s="17"/>
      <c r="G19" s="17"/>
      <c r="H19" s="14"/>
      <c r="I19" s="17"/>
      <c r="J19" s="15"/>
      <c r="K19" s="15"/>
      <c r="L19" s="15"/>
      <c r="M19" s="9">
        <f>IF($A19="","",IF(LEFT($B19,5)="LEAPS",$D19,$C19)*100*$E19)</f>
      </c>
      <c r="N19" s="10">
        <f>IF(OR($A19="",ISNUMBER(MATCH(LOWER($H19),{"open",""},0))),"",IF(LEFT($B19,5)="LEAPS",-1,1)*($D19-IF(ISNUMBER(MATCH(LOWER($H19),{"closed"},0)),$J19,0))*100*$E19-$K19-$L19)</f>
      </c>
      <c r="O19" s="11">
        <f>IF(OR($A19="",$F19=""),"",MAX(1,IF(ISNUMBER(MATCH(LOWER($H19),{"open",""},0)),MIN(TODAY(),$G19),IF($I19="",$G19,$I19))-$F19))</f>
      </c>
      <c r="P19" s="12">
        <f>IF(OR($N19="",$M19="",$M19=0),"",$N19/$M19)</f>
      </c>
      <c r="Q19" s="12">
        <f>IF(OR($P19="",$O19=""),"",$P19*365/$O19)</f>
      </c>
      <c r="R19">
        <f>IF($N19="",0,$M19*$O19)</f>
      </c>
      <c r="S19">
        <f>IF(OR($A19="",LEFT($B19,5)="LEAPS"),0,$D19*100*$E19)</f>
      </c>
    </row>
    <row r="20" spans="1:19" x14ac:dyDescent="0.25">
      <c r="A20" s="13"/>
      <c r="B20" s="14"/>
      <c r="C20" s="15"/>
      <c r="D20" s="15"/>
      <c r="E20" s="16"/>
      <c r="F20" s="17"/>
      <c r="G20" s="17"/>
      <c r="H20" s="14"/>
      <c r="I20" s="17"/>
      <c r="J20" s="15"/>
      <c r="K20" s="15"/>
      <c r="L20" s="15"/>
      <c r="M20" s="9">
        <f>IF($A20="","",IF(LEFT($B20,5)="LEAPS",$D20,$C20)*100*$E20)</f>
      </c>
      <c r="N20" s="10">
        <f>IF(OR($A20="",ISNUMBER(MATCH(LOWER($H20),{"open",""},0))),"",IF(LEFT($B20,5)="LEAPS",-1,1)*($D20-IF(ISNUMBER(MATCH(LOWER($H20),{"closed"},0)),$J20,0))*100*$E20-$K20-$L20)</f>
      </c>
      <c r="O20" s="11">
        <f>IF(OR($A20="",$F20=""),"",MAX(1,IF(ISNUMBER(MATCH(LOWER($H20),{"open",""},0)),MIN(TODAY(),$G20),IF($I20="",$G20,$I20))-$F20))</f>
      </c>
      <c r="P20" s="12">
        <f>IF(OR($N20="",$M20="",$M20=0),"",$N20/$M20)</f>
      </c>
      <c r="Q20" s="12">
        <f>IF(OR($P20="",$O20=""),"",$P20*365/$O20)</f>
      </c>
      <c r="R20">
        <f>IF($N20="",0,$M20*$O20)</f>
      </c>
      <c r="S20">
        <f>IF(OR($A20="",LEFT($B20,5)="LEAPS"),0,$D20*100*$E20)</f>
      </c>
    </row>
    <row r="21" spans="1:19" x14ac:dyDescent="0.25">
      <c r="A21" s="13"/>
      <c r="B21" s="14"/>
      <c r="C21" s="15"/>
      <c r="D21" s="15"/>
      <c r="E21" s="16"/>
      <c r="F21" s="17"/>
      <c r="G21" s="17"/>
      <c r="H21" s="14"/>
      <c r="I21" s="17"/>
      <c r="J21" s="15"/>
      <c r="K21" s="15"/>
      <c r="L21" s="15"/>
      <c r="M21" s="9">
        <f>IF($A21="","",IF(LEFT($B21,5)="LEAPS",$D21,$C21)*100*$E21)</f>
      </c>
      <c r="N21" s="10">
        <f>IF(OR($A21="",ISNUMBER(MATCH(LOWER($H21),{"open",""},0))),"",IF(LEFT($B21,5)="LEAPS",-1,1)*($D21-IF(ISNUMBER(MATCH(LOWER($H21),{"closed"},0)),$J21,0))*100*$E21-$K21-$L21)</f>
      </c>
      <c r="O21" s="11">
        <f>IF(OR($A21="",$F21=""),"",MAX(1,IF(ISNUMBER(MATCH(LOWER($H21),{"open",""},0)),MIN(TODAY(),$G21),IF($I21="",$G21,$I21))-$F21))</f>
      </c>
      <c r="P21" s="12">
        <f>IF(OR($N21="",$M21="",$M21=0),"",$N21/$M21)</f>
      </c>
      <c r="Q21" s="12">
        <f>IF(OR($P21="",$O21=""),"",$P21*365/$O21)</f>
      </c>
      <c r="R21">
        <f>IF($N21="",0,$M21*$O21)</f>
      </c>
      <c r="S21">
        <f>IF(OR($A21="",LEFT($B21,5)="LEAPS"),0,$D21*100*$E21)</f>
      </c>
    </row>
    <row r="22" spans="1:19" x14ac:dyDescent="0.25">
      <c r="A22" s="13"/>
      <c r="B22" s="14"/>
      <c r="C22" s="15"/>
      <c r="D22" s="15"/>
      <c r="E22" s="16"/>
      <c r="F22" s="17"/>
      <c r="G22" s="17"/>
      <c r="H22" s="14"/>
      <c r="I22" s="17"/>
      <c r="J22" s="15"/>
      <c r="K22" s="15"/>
      <c r="L22" s="15"/>
      <c r="M22" s="9">
        <f>IF($A22="","",IF(LEFT($B22,5)="LEAPS",$D22,$C22)*100*$E22)</f>
      </c>
      <c r="N22" s="10">
        <f>IF(OR($A22="",ISNUMBER(MATCH(LOWER($H22),{"open",""},0))),"",IF(LEFT($B22,5)="LEAPS",-1,1)*($D22-IF(ISNUMBER(MATCH(LOWER($H22),{"closed"},0)),$J22,0))*100*$E22-$K22-$L22)</f>
      </c>
      <c r="O22" s="11">
        <f>IF(OR($A22="",$F22=""),"",MAX(1,IF(ISNUMBER(MATCH(LOWER($H22),{"open",""},0)),MIN(TODAY(),$G22),IF($I22="",$G22,$I22))-$F22))</f>
      </c>
      <c r="P22" s="12">
        <f>IF(OR($N22="",$M22="",$M22=0),"",$N22/$M22)</f>
      </c>
      <c r="Q22" s="12">
        <f>IF(OR($P22="",$O22=""),"",$P22*365/$O22)</f>
      </c>
      <c r="R22">
        <f>IF($N22="",0,$M22*$O22)</f>
      </c>
      <c r="S22">
        <f>IF(OR($A22="",LEFT($B22,5)="LEAPS"),0,$D22*100*$E22)</f>
      </c>
    </row>
    <row r="23" spans="1:19" x14ac:dyDescent="0.25">
      <c r="A23" s="13"/>
      <c r="B23" s="14"/>
      <c r="C23" s="15"/>
      <c r="D23" s="15"/>
      <c r="E23" s="16"/>
      <c r="F23" s="17"/>
      <c r="G23" s="17"/>
      <c r="H23" s="14"/>
      <c r="I23" s="17"/>
      <c r="J23" s="15"/>
      <c r="K23" s="15"/>
      <c r="L23" s="15"/>
      <c r="M23" s="9">
        <f>IF($A23="","",IF(LEFT($B23,5)="LEAPS",$D23,$C23)*100*$E23)</f>
      </c>
      <c r="N23" s="10">
        <f>IF(OR($A23="",ISNUMBER(MATCH(LOWER($H23),{"open",""},0))),"",IF(LEFT($B23,5)="LEAPS",-1,1)*($D23-IF(ISNUMBER(MATCH(LOWER($H23),{"closed"},0)),$J23,0))*100*$E23-$K23-$L23)</f>
      </c>
      <c r="O23" s="11">
        <f>IF(OR($A23="",$F23=""),"",MAX(1,IF(ISNUMBER(MATCH(LOWER($H23),{"open",""},0)),MIN(TODAY(),$G23),IF($I23="",$G23,$I23))-$F23))</f>
      </c>
      <c r="P23" s="12">
        <f>IF(OR($N23="",$M23="",$M23=0),"",$N23/$M23)</f>
      </c>
      <c r="Q23" s="12">
        <f>IF(OR($P23="",$O23=""),"",$P23*365/$O23)</f>
      </c>
      <c r="R23">
        <f>IF($N23="",0,$M23*$O23)</f>
      </c>
      <c r="S23">
        <f>IF(OR($A23="",LEFT($B23,5)="LEAPS"),0,$D23*100*$E23)</f>
      </c>
    </row>
    <row r="24" spans="1:19" x14ac:dyDescent="0.25">
      <c r="A24" s="13"/>
      <c r="B24" s="14"/>
      <c r="C24" s="15"/>
      <c r="D24" s="15"/>
      <c r="E24" s="16"/>
      <c r="F24" s="17"/>
      <c r="G24" s="17"/>
      <c r="H24" s="14"/>
      <c r="I24" s="17"/>
      <c r="J24" s="15"/>
      <c r="K24" s="15"/>
      <c r="L24" s="15"/>
      <c r="M24" s="9">
        <f>IF($A24="","",IF(LEFT($B24,5)="LEAPS",$D24,$C24)*100*$E24)</f>
      </c>
      <c r="N24" s="10">
        <f>IF(OR($A24="",ISNUMBER(MATCH(LOWER($H24),{"open",""},0))),"",IF(LEFT($B24,5)="LEAPS",-1,1)*($D24-IF(ISNUMBER(MATCH(LOWER($H24),{"closed"},0)),$J24,0))*100*$E24-$K24-$L24)</f>
      </c>
      <c r="O24" s="11">
        <f>IF(OR($A24="",$F24=""),"",MAX(1,IF(ISNUMBER(MATCH(LOWER($H24),{"open",""},0)),MIN(TODAY(),$G24),IF($I24="",$G24,$I24))-$F24))</f>
      </c>
      <c r="P24" s="12">
        <f>IF(OR($N24="",$M24="",$M24=0),"",$N24/$M24)</f>
      </c>
      <c r="Q24" s="12">
        <f>IF(OR($P24="",$O24=""),"",$P24*365/$O24)</f>
      </c>
      <c r="R24">
        <f>IF($N24="",0,$M24*$O24)</f>
      </c>
      <c r="S24">
        <f>IF(OR($A24="",LEFT($B24,5)="LEAPS"),0,$D24*100*$E24)</f>
      </c>
    </row>
    <row r="25" spans="1:19" x14ac:dyDescent="0.25">
      <c r="A25" s="13"/>
      <c r="B25" s="14"/>
      <c r="C25" s="15"/>
      <c r="D25" s="15"/>
      <c r="E25" s="16"/>
      <c r="F25" s="17"/>
      <c r="G25" s="17"/>
      <c r="H25" s="14"/>
      <c r="I25" s="17"/>
      <c r="J25" s="15"/>
      <c r="K25" s="15"/>
      <c r="L25" s="15"/>
      <c r="M25" s="9">
        <f>IF($A25="","",IF(LEFT($B25,5)="LEAPS",$D25,$C25)*100*$E25)</f>
      </c>
      <c r="N25" s="10">
        <f>IF(OR($A25="",ISNUMBER(MATCH(LOWER($H25),{"open",""},0))),"",IF(LEFT($B25,5)="LEAPS",-1,1)*($D25-IF(ISNUMBER(MATCH(LOWER($H25),{"closed"},0)),$J25,0))*100*$E25-$K25-$L25)</f>
      </c>
      <c r="O25" s="11">
        <f>IF(OR($A25="",$F25=""),"",MAX(1,IF(ISNUMBER(MATCH(LOWER($H25),{"open",""},0)),MIN(TODAY(),$G25),IF($I25="",$G25,$I25))-$F25))</f>
      </c>
      <c r="P25" s="12">
        <f>IF(OR($N25="",$M25="",$M25=0),"",$N25/$M25)</f>
      </c>
      <c r="Q25" s="12">
        <f>IF(OR($P25="",$O25=""),"",$P25*365/$O25)</f>
      </c>
      <c r="R25">
        <f>IF($N25="",0,$M25*$O25)</f>
      </c>
      <c r="S25">
        <f>IF(OR($A25="",LEFT($B25,5)="LEAPS"),0,$D25*100*$E25)</f>
      </c>
    </row>
    <row r="26" spans="1:19" x14ac:dyDescent="0.25">
      <c r="A26" s="13"/>
      <c r="B26" s="14"/>
      <c r="C26" s="15"/>
      <c r="D26" s="15"/>
      <c r="E26" s="16"/>
      <c r="F26" s="17"/>
      <c r="G26" s="17"/>
      <c r="H26" s="14"/>
      <c r="I26" s="17"/>
      <c r="J26" s="15"/>
      <c r="K26" s="15"/>
      <c r="L26" s="15"/>
      <c r="M26" s="9">
        <f>IF($A26="","",IF(LEFT($B26,5)="LEAPS",$D26,$C26)*100*$E26)</f>
      </c>
      <c r="N26" s="10">
        <f>IF(OR($A26="",ISNUMBER(MATCH(LOWER($H26),{"open",""},0))),"",IF(LEFT($B26,5)="LEAPS",-1,1)*($D26-IF(ISNUMBER(MATCH(LOWER($H26),{"closed"},0)),$J26,0))*100*$E26-$K26-$L26)</f>
      </c>
      <c r="O26" s="11">
        <f>IF(OR($A26="",$F26=""),"",MAX(1,IF(ISNUMBER(MATCH(LOWER($H26),{"open",""},0)),MIN(TODAY(),$G26),IF($I26="",$G26,$I26))-$F26))</f>
      </c>
      <c r="P26" s="12">
        <f>IF(OR($N26="",$M26="",$M26=0),"",$N26/$M26)</f>
      </c>
      <c r="Q26" s="12">
        <f>IF(OR($P26="",$O26=""),"",$P26*365/$O26)</f>
      </c>
      <c r="R26">
        <f>IF($N26="",0,$M26*$O26)</f>
      </c>
      <c r="S26">
        <f>IF(OR($A26="",LEFT($B26,5)="LEAPS"),0,$D26*100*$E26)</f>
      </c>
    </row>
    <row r="27" spans="1:19" x14ac:dyDescent="0.25">
      <c r="A27" s="13"/>
      <c r="B27" s="14"/>
      <c r="C27" s="15"/>
      <c r="D27" s="15"/>
      <c r="E27" s="16"/>
      <c r="F27" s="17"/>
      <c r="G27" s="17"/>
      <c r="H27" s="14"/>
      <c r="I27" s="17"/>
      <c r="J27" s="15"/>
      <c r="K27" s="15"/>
      <c r="L27" s="15"/>
      <c r="M27" s="9">
        <f>IF($A27="","",IF(LEFT($B27,5)="LEAPS",$D27,$C27)*100*$E27)</f>
      </c>
      <c r="N27" s="10">
        <f>IF(OR($A27="",ISNUMBER(MATCH(LOWER($H27),{"open",""},0))),"",IF(LEFT($B27,5)="LEAPS",-1,1)*($D27-IF(ISNUMBER(MATCH(LOWER($H27),{"closed"},0)),$J27,0))*100*$E27-$K27-$L27)</f>
      </c>
      <c r="O27" s="11">
        <f>IF(OR($A27="",$F27=""),"",MAX(1,IF(ISNUMBER(MATCH(LOWER($H27),{"open",""},0)),MIN(TODAY(),$G27),IF($I27="",$G27,$I27))-$F27))</f>
      </c>
      <c r="P27" s="12">
        <f>IF(OR($N27="",$M27="",$M27=0),"",$N27/$M27)</f>
      </c>
      <c r="Q27" s="12">
        <f>IF(OR($P27="",$O27=""),"",$P27*365/$O27)</f>
      </c>
      <c r="R27">
        <f>IF($N27="",0,$M27*$O27)</f>
      </c>
      <c r="S27">
        <f>IF(OR($A27="",LEFT($B27,5)="LEAPS"),0,$D27*100*$E27)</f>
      </c>
    </row>
    <row r="28" spans="1:19" x14ac:dyDescent="0.25">
      <c r="A28" s="13"/>
      <c r="B28" s="14"/>
      <c r="C28" s="15"/>
      <c r="D28" s="15"/>
      <c r="E28" s="16"/>
      <c r="F28" s="17"/>
      <c r="G28" s="17"/>
      <c r="H28" s="14"/>
      <c r="I28" s="17"/>
      <c r="J28" s="15"/>
      <c r="K28" s="15"/>
      <c r="L28" s="15"/>
      <c r="M28" s="9">
        <f>IF($A28="","",IF(LEFT($B28,5)="LEAPS",$D28,$C28)*100*$E28)</f>
      </c>
      <c r="N28" s="10">
        <f>IF(OR($A28="",ISNUMBER(MATCH(LOWER($H28),{"open",""},0))),"",IF(LEFT($B28,5)="LEAPS",-1,1)*($D28-IF(ISNUMBER(MATCH(LOWER($H28),{"closed"},0)),$J28,0))*100*$E28-$K28-$L28)</f>
      </c>
      <c r="O28" s="11">
        <f>IF(OR($A28="",$F28=""),"",MAX(1,IF(ISNUMBER(MATCH(LOWER($H28),{"open",""},0)),MIN(TODAY(),$G28),IF($I28="",$G28,$I28))-$F28))</f>
      </c>
      <c r="P28" s="12">
        <f>IF(OR($N28="",$M28="",$M28=0),"",$N28/$M28)</f>
      </c>
      <c r="Q28" s="12">
        <f>IF(OR($P28="",$O28=""),"",$P28*365/$O28)</f>
      </c>
      <c r="R28">
        <f>IF($N28="",0,$M28*$O28)</f>
      </c>
      <c r="S28">
        <f>IF(OR($A28="",LEFT($B28,5)="LEAPS"),0,$D28*100*$E28)</f>
      </c>
    </row>
    <row r="29" spans="1:19" x14ac:dyDescent="0.25">
      <c r="A29" s="13"/>
      <c r="B29" s="14"/>
      <c r="C29" s="15"/>
      <c r="D29" s="15"/>
      <c r="E29" s="16"/>
      <c r="F29" s="17"/>
      <c r="G29" s="17"/>
      <c r="H29" s="14"/>
      <c r="I29" s="17"/>
      <c r="J29" s="15"/>
      <c r="K29" s="15"/>
      <c r="L29" s="15"/>
      <c r="M29" s="9">
        <f>IF($A29="","",IF(LEFT($B29,5)="LEAPS",$D29,$C29)*100*$E29)</f>
      </c>
      <c r="N29" s="10">
        <f>IF(OR($A29="",ISNUMBER(MATCH(LOWER($H29),{"open",""},0))),"",IF(LEFT($B29,5)="LEAPS",-1,1)*($D29-IF(ISNUMBER(MATCH(LOWER($H29),{"closed"},0)),$J29,0))*100*$E29-$K29-$L29)</f>
      </c>
      <c r="O29" s="11">
        <f>IF(OR($A29="",$F29=""),"",MAX(1,IF(ISNUMBER(MATCH(LOWER($H29),{"open",""},0)),MIN(TODAY(),$G29),IF($I29="",$G29,$I29))-$F29))</f>
      </c>
      <c r="P29" s="12">
        <f>IF(OR($N29="",$M29="",$M29=0),"",$N29/$M29)</f>
      </c>
      <c r="Q29" s="12">
        <f>IF(OR($P29="",$O29=""),"",$P29*365/$O29)</f>
      </c>
      <c r="R29">
        <f>IF($N29="",0,$M29*$O29)</f>
      </c>
      <c r="S29">
        <f>IF(OR($A29="",LEFT($B29,5)="LEAPS"),0,$D29*100*$E29)</f>
      </c>
    </row>
    <row r="30" spans="1:19" x14ac:dyDescent="0.25">
      <c r="A30" s="13"/>
      <c r="B30" s="14"/>
      <c r="C30" s="15"/>
      <c r="D30" s="15"/>
      <c r="E30" s="16"/>
      <c r="F30" s="17"/>
      <c r="G30" s="17"/>
      <c r="H30" s="14"/>
      <c r="I30" s="17"/>
      <c r="J30" s="15"/>
      <c r="K30" s="15"/>
      <c r="L30" s="15"/>
      <c r="M30" s="9">
        <f>IF($A30="","",IF(LEFT($B30,5)="LEAPS",$D30,$C30)*100*$E30)</f>
      </c>
      <c r="N30" s="10">
        <f>IF(OR($A30="",ISNUMBER(MATCH(LOWER($H30),{"open",""},0))),"",IF(LEFT($B30,5)="LEAPS",-1,1)*($D30-IF(ISNUMBER(MATCH(LOWER($H30),{"closed"},0)),$J30,0))*100*$E30-$K30-$L30)</f>
      </c>
      <c r="O30" s="11">
        <f>IF(OR($A30="",$F30=""),"",MAX(1,IF(ISNUMBER(MATCH(LOWER($H30),{"open",""},0)),MIN(TODAY(),$G30),IF($I30="",$G30,$I30))-$F30))</f>
      </c>
      <c r="P30" s="12">
        <f>IF(OR($N30="",$M30="",$M30=0),"",$N30/$M30)</f>
      </c>
      <c r="Q30" s="12">
        <f>IF(OR($P30="",$O30=""),"",$P30*365/$O30)</f>
      </c>
      <c r="R30">
        <f>IF($N30="",0,$M30*$O30)</f>
      </c>
      <c r="S30">
        <f>IF(OR($A30="",LEFT($B30,5)="LEAPS"),0,$D30*100*$E30)</f>
      </c>
    </row>
    <row r="31" spans="1:19" x14ac:dyDescent="0.25">
      <c r="A31" s="13"/>
      <c r="B31" s="14"/>
      <c r="C31" s="15"/>
      <c r="D31" s="15"/>
      <c r="E31" s="16"/>
      <c r="F31" s="17"/>
      <c r="G31" s="17"/>
      <c r="H31" s="14"/>
      <c r="I31" s="17"/>
      <c r="J31" s="15"/>
      <c r="K31" s="15"/>
      <c r="L31" s="15"/>
      <c r="M31" s="9">
        <f>IF($A31="","",IF(LEFT($B31,5)="LEAPS",$D31,$C31)*100*$E31)</f>
      </c>
      <c r="N31" s="10">
        <f>IF(OR($A31="",ISNUMBER(MATCH(LOWER($H31),{"open",""},0))),"",IF(LEFT($B31,5)="LEAPS",-1,1)*($D31-IF(ISNUMBER(MATCH(LOWER($H31),{"closed"},0)),$J31,0))*100*$E31-$K31-$L31)</f>
      </c>
      <c r="O31" s="11">
        <f>IF(OR($A31="",$F31=""),"",MAX(1,IF(ISNUMBER(MATCH(LOWER($H31),{"open",""},0)),MIN(TODAY(),$G31),IF($I31="",$G31,$I31))-$F31))</f>
      </c>
      <c r="P31" s="12">
        <f>IF(OR($N31="",$M31="",$M31=0),"",$N31/$M31)</f>
      </c>
      <c r="Q31" s="12">
        <f>IF(OR($P31="",$O31=""),"",$P31*365/$O31)</f>
      </c>
      <c r="R31">
        <f>IF($N31="",0,$M31*$O31)</f>
      </c>
      <c r="S31">
        <f>IF(OR($A31="",LEFT($B31,5)="LEAPS"),0,$D31*100*$E31)</f>
      </c>
    </row>
    <row r="32" spans="1:19" x14ac:dyDescent="0.25">
      <c r="A32" s="13"/>
      <c r="B32" s="14"/>
      <c r="C32" s="15"/>
      <c r="D32" s="15"/>
      <c r="E32" s="16"/>
      <c r="F32" s="17"/>
      <c r="G32" s="17"/>
      <c r="H32" s="14"/>
      <c r="I32" s="17"/>
      <c r="J32" s="15"/>
      <c r="K32" s="15"/>
      <c r="L32" s="15"/>
      <c r="M32" s="9">
        <f>IF($A32="","",IF(LEFT($B32,5)="LEAPS",$D32,$C32)*100*$E32)</f>
      </c>
      <c r="N32" s="10">
        <f>IF(OR($A32="",ISNUMBER(MATCH(LOWER($H32),{"open",""},0))),"",IF(LEFT($B32,5)="LEAPS",-1,1)*($D32-IF(ISNUMBER(MATCH(LOWER($H32),{"closed"},0)),$J32,0))*100*$E32-$K32-$L32)</f>
      </c>
      <c r="O32" s="11">
        <f>IF(OR($A32="",$F32=""),"",MAX(1,IF(ISNUMBER(MATCH(LOWER($H32),{"open",""},0)),MIN(TODAY(),$G32),IF($I32="",$G32,$I32))-$F32))</f>
      </c>
      <c r="P32" s="12">
        <f>IF(OR($N32="",$M32="",$M32=0),"",$N32/$M32)</f>
      </c>
      <c r="Q32" s="12">
        <f>IF(OR($P32="",$O32=""),"",$P32*365/$O32)</f>
      </c>
      <c r="R32">
        <f>IF($N32="",0,$M32*$O32)</f>
      </c>
      <c r="S32">
        <f>IF(OR($A32="",LEFT($B32,5)="LEAPS"),0,$D32*100*$E32)</f>
      </c>
    </row>
    <row r="33" spans="1:19" x14ac:dyDescent="0.25">
      <c r="A33" s="13"/>
      <c r="B33" s="14"/>
      <c r="C33" s="15"/>
      <c r="D33" s="15"/>
      <c r="E33" s="16"/>
      <c r="F33" s="17"/>
      <c r="G33" s="17"/>
      <c r="H33" s="14"/>
      <c r="I33" s="17"/>
      <c r="J33" s="15"/>
      <c r="K33" s="15"/>
      <c r="L33" s="15"/>
      <c r="M33" s="9">
        <f>IF($A33="","",IF(LEFT($B33,5)="LEAPS",$D33,$C33)*100*$E33)</f>
      </c>
      <c r="N33" s="10">
        <f>IF(OR($A33="",ISNUMBER(MATCH(LOWER($H33),{"open",""},0))),"",IF(LEFT($B33,5)="LEAPS",-1,1)*($D33-IF(ISNUMBER(MATCH(LOWER($H33),{"closed"},0)),$J33,0))*100*$E33-$K33-$L33)</f>
      </c>
      <c r="O33" s="11">
        <f>IF(OR($A33="",$F33=""),"",MAX(1,IF(ISNUMBER(MATCH(LOWER($H33),{"open",""},0)),MIN(TODAY(),$G33),IF($I33="",$G33,$I33))-$F33))</f>
      </c>
      <c r="P33" s="12">
        <f>IF(OR($N33="",$M33="",$M33=0),"",$N33/$M33)</f>
      </c>
      <c r="Q33" s="12">
        <f>IF(OR($P33="",$O33=""),"",$P33*365/$O33)</f>
      </c>
      <c r="R33">
        <f>IF($N33="",0,$M33*$O33)</f>
      </c>
      <c r="S33">
        <f>IF(OR($A33="",LEFT($B33,5)="LEAPS"),0,$D33*100*$E33)</f>
      </c>
    </row>
    <row r="34" spans="1:19" x14ac:dyDescent="0.25">
      <c r="A34" s="13"/>
      <c r="B34" s="14"/>
      <c r="C34" s="15"/>
      <c r="D34" s="15"/>
      <c r="E34" s="16"/>
      <c r="F34" s="17"/>
      <c r="G34" s="17"/>
      <c r="H34" s="14"/>
      <c r="I34" s="17"/>
      <c r="J34" s="15"/>
      <c r="K34" s="15"/>
      <c r="L34" s="15"/>
      <c r="M34" s="9">
        <f>IF($A34="","",IF(LEFT($B34,5)="LEAPS",$D34,$C34)*100*$E34)</f>
      </c>
      <c r="N34" s="10">
        <f>IF(OR($A34="",ISNUMBER(MATCH(LOWER($H34),{"open",""},0))),"",IF(LEFT($B34,5)="LEAPS",-1,1)*($D34-IF(ISNUMBER(MATCH(LOWER($H34),{"closed"},0)),$J34,0))*100*$E34-$K34-$L34)</f>
      </c>
      <c r="O34" s="11">
        <f>IF(OR($A34="",$F34=""),"",MAX(1,IF(ISNUMBER(MATCH(LOWER($H34),{"open",""},0)),MIN(TODAY(),$G34),IF($I34="",$G34,$I34))-$F34))</f>
      </c>
      <c r="P34" s="12">
        <f>IF(OR($N34="",$M34="",$M34=0),"",$N34/$M34)</f>
      </c>
      <c r="Q34" s="12">
        <f>IF(OR($P34="",$O34=""),"",$P34*365/$O34)</f>
      </c>
      <c r="R34">
        <f>IF($N34="",0,$M34*$O34)</f>
      </c>
      <c r="S34">
        <f>IF(OR($A34="",LEFT($B34,5)="LEAPS"),0,$D34*100*$E34)</f>
      </c>
    </row>
    <row r="35" spans="1:19" x14ac:dyDescent="0.25">
      <c r="A35" s="13"/>
      <c r="B35" s="14"/>
      <c r="C35" s="15"/>
      <c r="D35" s="15"/>
      <c r="E35" s="16"/>
      <c r="F35" s="17"/>
      <c r="G35" s="17"/>
      <c r="H35" s="14"/>
      <c r="I35" s="17"/>
      <c r="J35" s="15"/>
      <c r="K35" s="15"/>
      <c r="L35" s="15"/>
      <c r="M35" s="9">
        <f>IF($A35="","",IF(LEFT($B35,5)="LEAPS",$D35,$C35)*100*$E35)</f>
      </c>
      <c r="N35" s="10">
        <f>IF(OR($A35="",ISNUMBER(MATCH(LOWER($H35),{"open",""},0))),"",IF(LEFT($B35,5)="LEAPS",-1,1)*($D35-IF(ISNUMBER(MATCH(LOWER($H35),{"closed"},0)),$J35,0))*100*$E35-$K35-$L35)</f>
      </c>
      <c r="O35" s="11">
        <f>IF(OR($A35="",$F35=""),"",MAX(1,IF(ISNUMBER(MATCH(LOWER($H35),{"open",""},0)),MIN(TODAY(),$G35),IF($I35="",$G35,$I35))-$F35))</f>
      </c>
      <c r="P35" s="12">
        <f>IF(OR($N35="",$M35="",$M35=0),"",$N35/$M35)</f>
      </c>
      <c r="Q35" s="12">
        <f>IF(OR($P35="",$O35=""),"",$P35*365/$O35)</f>
      </c>
      <c r="R35">
        <f>IF($N35="",0,$M35*$O35)</f>
      </c>
      <c r="S35">
        <f>IF(OR($A35="",LEFT($B35,5)="LEAPS"),0,$D35*100*$E35)</f>
      </c>
    </row>
    <row r="36" spans="1:19" x14ac:dyDescent="0.25">
      <c r="A36" s="13"/>
      <c r="B36" s="14"/>
      <c r="C36" s="15"/>
      <c r="D36" s="15"/>
      <c r="E36" s="16"/>
      <c r="F36" s="17"/>
      <c r="G36" s="17"/>
      <c r="H36" s="14"/>
      <c r="I36" s="17"/>
      <c r="J36" s="15"/>
      <c r="K36" s="15"/>
      <c r="L36" s="15"/>
      <c r="M36" s="9">
        <f>IF($A36="","",IF(LEFT($B36,5)="LEAPS",$D36,$C36)*100*$E36)</f>
      </c>
      <c r="N36" s="10">
        <f>IF(OR($A36="",ISNUMBER(MATCH(LOWER($H36),{"open",""},0))),"",IF(LEFT($B36,5)="LEAPS",-1,1)*($D36-IF(ISNUMBER(MATCH(LOWER($H36),{"closed"},0)),$J36,0))*100*$E36-$K36-$L36)</f>
      </c>
      <c r="O36" s="11">
        <f>IF(OR($A36="",$F36=""),"",MAX(1,IF(ISNUMBER(MATCH(LOWER($H36),{"open",""},0)),MIN(TODAY(),$G36),IF($I36="",$G36,$I36))-$F36))</f>
      </c>
      <c r="P36" s="12">
        <f>IF(OR($N36="",$M36="",$M36=0),"",$N36/$M36)</f>
      </c>
      <c r="Q36" s="12">
        <f>IF(OR($P36="",$O36=""),"",$P36*365/$O36)</f>
      </c>
      <c r="R36">
        <f>IF($N36="",0,$M36*$O36)</f>
      </c>
      <c r="S36">
        <f>IF(OR($A36="",LEFT($B36,5)="LEAPS"),0,$D36*100*$E36)</f>
      </c>
    </row>
    <row r="37" spans="1:19" x14ac:dyDescent="0.25">
      <c r="A37" s="13"/>
      <c r="B37" s="14"/>
      <c r="C37" s="15"/>
      <c r="D37" s="15"/>
      <c r="E37" s="16"/>
      <c r="F37" s="17"/>
      <c r="G37" s="17"/>
      <c r="H37" s="14"/>
      <c r="I37" s="17"/>
      <c r="J37" s="15"/>
      <c r="K37" s="15"/>
      <c r="L37" s="15"/>
      <c r="M37" s="9">
        <f>IF($A37="","",IF(LEFT($B37,5)="LEAPS",$D37,$C37)*100*$E37)</f>
      </c>
      <c r="N37" s="10">
        <f>IF(OR($A37="",ISNUMBER(MATCH(LOWER($H37),{"open",""},0))),"",IF(LEFT($B37,5)="LEAPS",-1,1)*($D37-IF(ISNUMBER(MATCH(LOWER($H37),{"closed"},0)),$J37,0))*100*$E37-$K37-$L37)</f>
      </c>
      <c r="O37" s="11">
        <f>IF(OR($A37="",$F37=""),"",MAX(1,IF(ISNUMBER(MATCH(LOWER($H37),{"open",""},0)),MIN(TODAY(),$G37),IF($I37="",$G37,$I37))-$F37))</f>
      </c>
      <c r="P37" s="12">
        <f>IF(OR($N37="",$M37="",$M37=0),"",$N37/$M37)</f>
      </c>
      <c r="Q37" s="12">
        <f>IF(OR($P37="",$O37=""),"",$P37*365/$O37)</f>
      </c>
      <c r="R37">
        <f>IF($N37="",0,$M37*$O37)</f>
      </c>
      <c r="S37">
        <f>IF(OR($A37="",LEFT($B37,5)="LEAPS"),0,$D37*100*$E37)</f>
      </c>
    </row>
    <row r="38" spans="1:19" x14ac:dyDescent="0.25">
      <c r="A38" s="13"/>
      <c r="B38" s="14"/>
      <c r="C38" s="15"/>
      <c r="D38" s="15"/>
      <c r="E38" s="16"/>
      <c r="F38" s="17"/>
      <c r="G38" s="17"/>
      <c r="H38" s="14"/>
      <c r="I38" s="17"/>
      <c r="J38" s="15"/>
      <c r="K38" s="15"/>
      <c r="L38" s="15"/>
      <c r="M38" s="9">
        <f>IF($A38="","",IF(LEFT($B38,5)="LEAPS",$D38,$C38)*100*$E38)</f>
      </c>
      <c r="N38" s="10">
        <f>IF(OR($A38="",ISNUMBER(MATCH(LOWER($H38),{"open",""},0))),"",IF(LEFT($B38,5)="LEAPS",-1,1)*($D38-IF(ISNUMBER(MATCH(LOWER($H38),{"closed"},0)),$J38,0))*100*$E38-$K38-$L38)</f>
      </c>
      <c r="O38" s="11">
        <f>IF(OR($A38="",$F38=""),"",MAX(1,IF(ISNUMBER(MATCH(LOWER($H38),{"open",""},0)),MIN(TODAY(),$G38),IF($I38="",$G38,$I38))-$F38))</f>
      </c>
      <c r="P38" s="12">
        <f>IF(OR($N38="",$M38="",$M38=0),"",$N38/$M38)</f>
      </c>
      <c r="Q38" s="12">
        <f>IF(OR($P38="",$O38=""),"",$P38*365/$O38)</f>
      </c>
      <c r="R38">
        <f>IF($N38="",0,$M38*$O38)</f>
      </c>
      <c r="S38">
        <f>IF(OR($A38="",LEFT($B38,5)="LEAPS"),0,$D38*100*$E38)</f>
      </c>
    </row>
    <row r="39" spans="1:19" x14ac:dyDescent="0.25">
      <c r="A39" s="13"/>
      <c r="B39" s="14"/>
      <c r="C39" s="15"/>
      <c r="D39" s="15"/>
      <c r="E39" s="16"/>
      <c r="F39" s="17"/>
      <c r="G39" s="17"/>
      <c r="H39" s="14"/>
      <c r="I39" s="17"/>
      <c r="J39" s="15"/>
      <c r="K39" s="15"/>
      <c r="L39" s="15"/>
      <c r="M39" s="9">
        <f>IF($A39="","",IF(LEFT($B39,5)="LEAPS",$D39,$C39)*100*$E39)</f>
      </c>
      <c r="N39" s="10">
        <f>IF(OR($A39="",ISNUMBER(MATCH(LOWER($H39),{"open",""},0))),"",IF(LEFT($B39,5)="LEAPS",-1,1)*($D39-IF(ISNUMBER(MATCH(LOWER($H39),{"closed"},0)),$J39,0))*100*$E39-$K39-$L39)</f>
      </c>
      <c r="O39" s="11">
        <f>IF(OR($A39="",$F39=""),"",MAX(1,IF(ISNUMBER(MATCH(LOWER($H39),{"open",""},0)),MIN(TODAY(),$G39),IF($I39="",$G39,$I39))-$F39))</f>
      </c>
      <c r="P39" s="12">
        <f>IF(OR($N39="",$M39="",$M39=0),"",$N39/$M39)</f>
      </c>
      <c r="Q39" s="12">
        <f>IF(OR($P39="",$O39=""),"",$P39*365/$O39)</f>
      </c>
      <c r="R39">
        <f>IF($N39="",0,$M39*$O39)</f>
      </c>
      <c r="S39">
        <f>IF(OR($A39="",LEFT($B39,5)="LEAPS"),0,$D39*100*$E39)</f>
      </c>
    </row>
    <row r="40" spans="1:19" x14ac:dyDescent="0.25">
      <c r="A40" s="13"/>
      <c r="B40" s="14"/>
      <c r="C40" s="15"/>
      <c r="D40" s="15"/>
      <c r="E40" s="16"/>
      <c r="F40" s="17"/>
      <c r="G40" s="17"/>
      <c r="H40" s="14"/>
      <c r="I40" s="17"/>
      <c r="J40" s="15"/>
      <c r="K40" s="15"/>
      <c r="L40" s="15"/>
      <c r="M40" s="9">
        <f>IF($A40="","",IF(LEFT($B40,5)="LEAPS",$D40,$C40)*100*$E40)</f>
      </c>
      <c r="N40" s="10">
        <f>IF(OR($A40="",ISNUMBER(MATCH(LOWER($H40),{"open",""},0))),"",IF(LEFT($B40,5)="LEAPS",-1,1)*($D40-IF(ISNUMBER(MATCH(LOWER($H40),{"closed"},0)),$J40,0))*100*$E40-$K40-$L40)</f>
      </c>
      <c r="O40" s="11">
        <f>IF(OR($A40="",$F40=""),"",MAX(1,IF(ISNUMBER(MATCH(LOWER($H40),{"open",""},0)),MIN(TODAY(),$G40),IF($I40="",$G40,$I40))-$F40))</f>
      </c>
      <c r="P40" s="12">
        <f>IF(OR($N40="",$M40="",$M40=0),"",$N40/$M40)</f>
      </c>
      <c r="Q40" s="12">
        <f>IF(OR($P40="",$O40=""),"",$P40*365/$O40)</f>
      </c>
      <c r="R40">
        <f>IF($N40="",0,$M40*$O40)</f>
      </c>
      <c r="S40">
        <f>IF(OR($A40="",LEFT($B40,5)="LEAPS"),0,$D40*100*$E40)</f>
      </c>
    </row>
    <row r="41" spans="1:19" x14ac:dyDescent="0.25">
      <c r="A41" s="13"/>
      <c r="B41" s="14"/>
      <c r="C41" s="15"/>
      <c r="D41" s="15"/>
      <c r="E41" s="16"/>
      <c r="F41" s="17"/>
      <c r="G41" s="17"/>
      <c r="H41" s="14"/>
      <c r="I41" s="17"/>
      <c r="J41" s="15"/>
      <c r="K41" s="15"/>
      <c r="L41" s="15"/>
      <c r="M41" s="9">
        <f>IF($A41="","",IF(LEFT($B41,5)="LEAPS",$D41,$C41)*100*$E41)</f>
      </c>
      <c r="N41" s="10">
        <f>IF(OR($A41="",ISNUMBER(MATCH(LOWER($H41),{"open",""},0))),"",IF(LEFT($B41,5)="LEAPS",-1,1)*($D41-IF(ISNUMBER(MATCH(LOWER($H41),{"closed"},0)),$J41,0))*100*$E41-$K41-$L41)</f>
      </c>
      <c r="O41" s="11">
        <f>IF(OR($A41="",$F41=""),"",MAX(1,IF(ISNUMBER(MATCH(LOWER($H41),{"open",""},0)),MIN(TODAY(),$G41),IF($I41="",$G41,$I41))-$F41))</f>
      </c>
      <c r="P41" s="12">
        <f>IF(OR($N41="",$M41="",$M41=0),"",$N41/$M41)</f>
      </c>
      <c r="Q41" s="12">
        <f>IF(OR($P41="",$O41=""),"",$P41*365/$O41)</f>
      </c>
      <c r="R41">
        <f>IF($N41="",0,$M41*$O41)</f>
      </c>
      <c r="S41">
        <f>IF(OR($A41="",LEFT($B41,5)="LEAPS"),0,$D41*100*$E41)</f>
      </c>
    </row>
    <row r="42" spans="1:19" x14ac:dyDescent="0.25">
      <c r="A42" s="13"/>
      <c r="B42" s="14"/>
      <c r="C42" s="15"/>
      <c r="D42" s="15"/>
      <c r="E42" s="16"/>
      <c r="F42" s="17"/>
      <c r="G42" s="17"/>
      <c r="H42" s="14"/>
      <c r="I42" s="17"/>
      <c r="J42" s="15"/>
      <c r="K42" s="15"/>
      <c r="L42" s="15"/>
      <c r="M42" s="9">
        <f>IF($A42="","",IF(LEFT($B42,5)="LEAPS",$D42,$C42)*100*$E42)</f>
      </c>
      <c r="N42" s="10">
        <f>IF(OR($A42="",ISNUMBER(MATCH(LOWER($H42),{"open",""},0))),"",IF(LEFT($B42,5)="LEAPS",-1,1)*($D42-IF(ISNUMBER(MATCH(LOWER($H42),{"closed"},0)),$J42,0))*100*$E42-$K42-$L42)</f>
      </c>
      <c r="O42" s="11">
        <f>IF(OR($A42="",$F42=""),"",MAX(1,IF(ISNUMBER(MATCH(LOWER($H42),{"open",""},0)),MIN(TODAY(),$G42),IF($I42="",$G42,$I42))-$F42))</f>
      </c>
      <c r="P42" s="12">
        <f>IF(OR($N42="",$M42="",$M42=0),"",$N42/$M42)</f>
      </c>
      <c r="Q42" s="12">
        <f>IF(OR($P42="",$O42=""),"",$P42*365/$O42)</f>
      </c>
      <c r="R42">
        <f>IF($N42="",0,$M42*$O42)</f>
      </c>
      <c r="S42">
        <f>IF(OR($A42="",LEFT($B42,5)="LEAPS"),0,$D42*100*$E42)</f>
      </c>
    </row>
    <row r="43" spans="1:19" x14ac:dyDescent="0.25">
      <c r="A43" s="13"/>
      <c r="B43" s="14"/>
      <c r="C43" s="15"/>
      <c r="D43" s="15"/>
      <c r="E43" s="16"/>
      <c r="F43" s="17"/>
      <c r="G43" s="17"/>
      <c r="H43" s="14"/>
      <c r="I43" s="17"/>
      <c r="J43" s="15"/>
      <c r="K43" s="15"/>
      <c r="L43" s="15"/>
      <c r="M43" s="9">
        <f>IF($A43="","",IF(LEFT($B43,5)="LEAPS",$D43,$C43)*100*$E43)</f>
      </c>
      <c r="N43" s="10">
        <f>IF(OR($A43="",ISNUMBER(MATCH(LOWER($H43),{"open",""},0))),"",IF(LEFT($B43,5)="LEAPS",-1,1)*($D43-IF(ISNUMBER(MATCH(LOWER($H43),{"closed"},0)),$J43,0))*100*$E43-$K43-$L43)</f>
      </c>
      <c r="O43" s="11">
        <f>IF(OR($A43="",$F43=""),"",MAX(1,IF(ISNUMBER(MATCH(LOWER($H43),{"open",""},0)),MIN(TODAY(),$G43),IF($I43="",$G43,$I43))-$F43))</f>
      </c>
      <c r="P43" s="12">
        <f>IF(OR($N43="",$M43="",$M43=0),"",$N43/$M43)</f>
      </c>
      <c r="Q43" s="12">
        <f>IF(OR($P43="",$O43=""),"",$P43*365/$O43)</f>
      </c>
      <c r="R43">
        <f>IF($N43="",0,$M43*$O43)</f>
      </c>
      <c r="S43">
        <f>IF(OR($A43="",LEFT($B43,5)="LEAPS"),0,$D43*100*$E43)</f>
      </c>
    </row>
    <row r="44" spans="1:19" x14ac:dyDescent="0.25">
      <c r="A44" s="13"/>
      <c r="B44" s="14"/>
      <c r="C44" s="15"/>
      <c r="D44" s="15"/>
      <c r="E44" s="16"/>
      <c r="F44" s="17"/>
      <c r="G44" s="17"/>
      <c r="H44" s="14"/>
      <c r="I44" s="17"/>
      <c r="J44" s="15"/>
      <c r="K44" s="15"/>
      <c r="L44" s="15"/>
      <c r="M44" s="9">
        <f>IF($A44="","",IF(LEFT($B44,5)="LEAPS",$D44,$C44)*100*$E44)</f>
      </c>
      <c r="N44" s="10">
        <f>IF(OR($A44="",ISNUMBER(MATCH(LOWER($H44),{"open",""},0))),"",IF(LEFT($B44,5)="LEAPS",-1,1)*($D44-IF(ISNUMBER(MATCH(LOWER($H44),{"closed"},0)),$J44,0))*100*$E44-$K44-$L44)</f>
      </c>
      <c r="O44" s="11">
        <f>IF(OR($A44="",$F44=""),"",MAX(1,IF(ISNUMBER(MATCH(LOWER($H44),{"open",""},0)),MIN(TODAY(),$G44),IF($I44="",$G44,$I44))-$F44))</f>
      </c>
      <c r="P44" s="12">
        <f>IF(OR($N44="",$M44="",$M44=0),"",$N44/$M44)</f>
      </c>
      <c r="Q44" s="12">
        <f>IF(OR($P44="",$O44=""),"",$P44*365/$O44)</f>
      </c>
      <c r="R44">
        <f>IF($N44="",0,$M44*$O44)</f>
      </c>
      <c r="S44">
        <f>IF(OR($A44="",LEFT($B44,5)="LEAPS"),0,$D44*100*$E44)</f>
      </c>
    </row>
    <row r="45" spans="1:19" x14ac:dyDescent="0.25">
      <c r="A45" s="13"/>
      <c r="B45" s="14"/>
      <c r="C45" s="15"/>
      <c r="D45" s="15"/>
      <c r="E45" s="16"/>
      <c r="F45" s="17"/>
      <c r="G45" s="17"/>
      <c r="H45" s="14"/>
      <c r="I45" s="17"/>
      <c r="J45" s="15"/>
      <c r="K45" s="15"/>
      <c r="L45" s="15"/>
      <c r="M45" s="9">
        <f>IF($A45="","",IF(LEFT($B45,5)="LEAPS",$D45,$C45)*100*$E45)</f>
      </c>
      <c r="N45" s="10">
        <f>IF(OR($A45="",ISNUMBER(MATCH(LOWER($H45),{"open",""},0))),"",IF(LEFT($B45,5)="LEAPS",-1,1)*($D45-IF(ISNUMBER(MATCH(LOWER($H45),{"closed"},0)),$J45,0))*100*$E45-$K45-$L45)</f>
      </c>
      <c r="O45" s="11">
        <f>IF(OR($A45="",$F45=""),"",MAX(1,IF(ISNUMBER(MATCH(LOWER($H45),{"open",""},0)),MIN(TODAY(),$G45),IF($I45="",$G45,$I45))-$F45))</f>
      </c>
      <c r="P45" s="12">
        <f>IF(OR($N45="",$M45="",$M45=0),"",$N45/$M45)</f>
      </c>
      <c r="Q45" s="12">
        <f>IF(OR($P45="",$O45=""),"",$P45*365/$O45)</f>
      </c>
      <c r="R45">
        <f>IF($N45="",0,$M45*$O45)</f>
      </c>
      <c r="S45">
        <f>IF(OR($A45="",LEFT($B45,5)="LEAPS"),0,$D45*100*$E45)</f>
      </c>
    </row>
    <row r="46" spans="1:19" x14ac:dyDescent="0.25">
      <c r="A46" s="13"/>
      <c r="B46" s="14"/>
      <c r="C46" s="15"/>
      <c r="D46" s="15"/>
      <c r="E46" s="16"/>
      <c r="F46" s="17"/>
      <c r="G46" s="17"/>
      <c r="H46" s="14"/>
      <c r="I46" s="17"/>
      <c r="J46" s="15"/>
      <c r="K46" s="15"/>
      <c r="L46" s="15"/>
      <c r="M46" s="9">
        <f>IF($A46="","",IF(LEFT($B46,5)="LEAPS",$D46,$C46)*100*$E46)</f>
      </c>
      <c r="N46" s="10">
        <f>IF(OR($A46="",ISNUMBER(MATCH(LOWER($H46),{"open",""},0))),"",IF(LEFT($B46,5)="LEAPS",-1,1)*($D46-IF(ISNUMBER(MATCH(LOWER($H46),{"closed"},0)),$J46,0))*100*$E46-$K46-$L46)</f>
      </c>
      <c r="O46" s="11">
        <f>IF(OR($A46="",$F46=""),"",MAX(1,IF(ISNUMBER(MATCH(LOWER($H46),{"open",""},0)),MIN(TODAY(),$G46),IF($I46="",$G46,$I46))-$F46))</f>
      </c>
      <c r="P46" s="12">
        <f>IF(OR($N46="",$M46="",$M46=0),"",$N46/$M46)</f>
      </c>
      <c r="Q46" s="12">
        <f>IF(OR($P46="",$O46=""),"",$P46*365/$O46)</f>
      </c>
      <c r="R46">
        <f>IF($N46="",0,$M46*$O46)</f>
      </c>
      <c r="S46">
        <f>IF(OR($A46="",LEFT($B46,5)="LEAPS"),0,$D46*100*$E46)</f>
      </c>
    </row>
    <row r="47" spans="1:19" x14ac:dyDescent="0.25">
      <c r="A47" s="13"/>
      <c r="B47" s="14"/>
      <c r="C47" s="15"/>
      <c r="D47" s="15"/>
      <c r="E47" s="16"/>
      <c r="F47" s="17"/>
      <c r="G47" s="17"/>
      <c r="H47" s="14"/>
      <c r="I47" s="17"/>
      <c r="J47" s="15"/>
      <c r="K47" s="15"/>
      <c r="L47" s="15"/>
      <c r="M47" s="9">
        <f>IF($A47="","",IF(LEFT($B47,5)="LEAPS",$D47,$C47)*100*$E47)</f>
      </c>
      <c r="N47" s="10">
        <f>IF(OR($A47="",ISNUMBER(MATCH(LOWER($H47),{"open",""},0))),"",IF(LEFT($B47,5)="LEAPS",-1,1)*($D47-IF(ISNUMBER(MATCH(LOWER($H47),{"closed"},0)),$J47,0))*100*$E47-$K47-$L47)</f>
      </c>
      <c r="O47" s="11">
        <f>IF(OR($A47="",$F47=""),"",MAX(1,IF(ISNUMBER(MATCH(LOWER($H47),{"open",""},0)),MIN(TODAY(),$G47),IF($I47="",$G47,$I47))-$F47))</f>
      </c>
      <c r="P47" s="12">
        <f>IF(OR($N47="",$M47="",$M47=0),"",$N47/$M47)</f>
      </c>
      <c r="Q47" s="12">
        <f>IF(OR($P47="",$O47=""),"",$P47*365/$O47)</f>
      </c>
      <c r="R47">
        <f>IF($N47="",0,$M47*$O47)</f>
      </c>
      <c r="S47">
        <f>IF(OR($A47="",LEFT($B47,5)="LEAPS"),0,$D47*100*$E47)</f>
      </c>
    </row>
    <row r="48" spans="1:19" x14ac:dyDescent="0.25">
      <c r="A48" s="13"/>
      <c r="B48" s="14"/>
      <c r="C48" s="15"/>
      <c r="D48" s="15"/>
      <c r="E48" s="16"/>
      <c r="F48" s="17"/>
      <c r="G48" s="17"/>
      <c r="H48" s="14"/>
      <c r="I48" s="17"/>
      <c r="J48" s="15"/>
      <c r="K48" s="15"/>
      <c r="L48" s="15"/>
      <c r="M48" s="9">
        <f>IF($A48="","",IF(LEFT($B48,5)="LEAPS",$D48,$C48)*100*$E48)</f>
      </c>
      <c r="N48" s="10">
        <f>IF(OR($A48="",ISNUMBER(MATCH(LOWER($H48),{"open",""},0))),"",IF(LEFT($B48,5)="LEAPS",-1,1)*($D48-IF(ISNUMBER(MATCH(LOWER($H48),{"closed"},0)),$J48,0))*100*$E48-$K48-$L48)</f>
      </c>
      <c r="O48" s="11">
        <f>IF(OR($A48="",$F48=""),"",MAX(1,IF(ISNUMBER(MATCH(LOWER($H48),{"open",""},0)),MIN(TODAY(),$G48),IF($I48="",$G48,$I48))-$F48))</f>
      </c>
      <c r="P48" s="12">
        <f>IF(OR($N48="",$M48="",$M48=0),"",$N48/$M48)</f>
      </c>
      <c r="Q48" s="12">
        <f>IF(OR($P48="",$O48=""),"",$P48*365/$O48)</f>
      </c>
      <c r="R48">
        <f>IF($N48="",0,$M48*$O48)</f>
      </c>
      <c r="S48">
        <f>IF(OR($A48="",LEFT($B48,5)="LEAPS"),0,$D48*100*$E48)</f>
      </c>
    </row>
    <row r="49" spans="1:19" x14ac:dyDescent="0.25">
      <c r="A49" s="13"/>
      <c r="B49" s="14"/>
      <c r="C49" s="15"/>
      <c r="D49" s="15"/>
      <c r="E49" s="16"/>
      <c r="F49" s="17"/>
      <c r="G49" s="17"/>
      <c r="H49" s="14"/>
      <c r="I49" s="17"/>
      <c r="J49" s="15"/>
      <c r="K49" s="15"/>
      <c r="L49" s="15"/>
      <c r="M49" s="9">
        <f>IF($A49="","",IF(LEFT($B49,5)="LEAPS",$D49,$C49)*100*$E49)</f>
      </c>
      <c r="N49" s="10">
        <f>IF(OR($A49="",ISNUMBER(MATCH(LOWER($H49),{"open",""},0))),"",IF(LEFT($B49,5)="LEAPS",-1,1)*($D49-IF(ISNUMBER(MATCH(LOWER($H49),{"closed"},0)),$J49,0))*100*$E49-$K49-$L49)</f>
      </c>
      <c r="O49" s="11">
        <f>IF(OR($A49="",$F49=""),"",MAX(1,IF(ISNUMBER(MATCH(LOWER($H49),{"open",""},0)),MIN(TODAY(),$G49),IF($I49="",$G49,$I49))-$F49))</f>
      </c>
      <c r="P49" s="12">
        <f>IF(OR($N49="",$M49="",$M49=0),"",$N49/$M49)</f>
      </c>
      <c r="Q49" s="12">
        <f>IF(OR($P49="",$O49=""),"",$P49*365/$O49)</f>
      </c>
      <c r="R49">
        <f>IF($N49="",0,$M49*$O49)</f>
      </c>
      <c r="S49">
        <f>IF(OR($A49="",LEFT($B49,5)="LEAPS"),0,$D49*100*$E49)</f>
      </c>
    </row>
    <row r="50" spans="1:19" x14ac:dyDescent="0.25">
      <c r="A50" s="13"/>
      <c r="B50" s="14"/>
      <c r="C50" s="15"/>
      <c r="D50" s="15"/>
      <c r="E50" s="16"/>
      <c r="F50" s="17"/>
      <c r="G50" s="17"/>
      <c r="H50" s="14"/>
      <c r="I50" s="17"/>
      <c r="J50" s="15"/>
      <c r="K50" s="15"/>
      <c r="L50" s="15"/>
      <c r="M50" s="9">
        <f>IF($A50="","",IF(LEFT($B50,5)="LEAPS",$D50,$C50)*100*$E50)</f>
      </c>
      <c r="N50" s="10">
        <f>IF(OR($A50="",ISNUMBER(MATCH(LOWER($H50),{"open",""},0))),"",IF(LEFT($B50,5)="LEAPS",-1,1)*($D50-IF(ISNUMBER(MATCH(LOWER($H50),{"closed"},0)),$J50,0))*100*$E50-$K50-$L50)</f>
      </c>
      <c r="O50" s="11">
        <f>IF(OR($A50="",$F50=""),"",MAX(1,IF(ISNUMBER(MATCH(LOWER($H50),{"open",""},0)),MIN(TODAY(),$G50),IF($I50="",$G50,$I50))-$F50))</f>
      </c>
      <c r="P50" s="12">
        <f>IF(OR($N50="",$M50="",$M50=0),"",$N50/$M50)</f>
      </c>
      <c r="Q50" s="12">
        <f>IF(OR($P50="",$O50=""),"",$P50*365/$O50)</f>
      </c>
      <c r="R50">
        <f>IF($N50="",0,$M50*$O50)</f>
      </c>
      <c r="S50">
        <f>IF(OR($A50="",LEFT($B50,5)="LEAPS"),0,$D50*100*$E50)</f>
      </c>
    </row>
    <row r="51" spans="1:19" x14ac:dyDescent="0.25">
      <c r="A51" s="13"/>
      <c r="B51" s="14"/>
      <c r="C51" s="15"/>
      <c r="D51" s="15"/>
      <c r="E51" s="16"/>
      <c r="F51" s="17"/>
      <c r="G51" s="17"/>
      <c r="H51" s="14"/>
      <c r="I51" s="17"/>
      <c r="J51" s="15"/>
      <c r="K51" s="15"/>
      <c r="L51" s="15"/>
      <c r="M51" s="9">
        <f>IF($A51="","",IF(LEFT($B51,5)="LEAPS",$D51,$C51)*100*$E51)</f>
      </c>
      <c r="N51" s="10">
        <f>IF(OR($A51="",ISNUMBER(MATCH(LOWER($H51),{"open",""},0))),"",IF(LEFT($B51,5)="LEAPS",-1,1)*($D51-IF(ISNUMBER(MATCH(LOWER($H51),{"closed"},0)),$J51,0))*100*$E51-$K51-$L51)</f>
      </c>
      <c r="O51" s="11">
        <f>IF(OR($A51="",$F51=""),"",MAX(1,IF(ISNUMBER(MATCH(LOWER($H51),{"open",""},0)),MIN(TODAY(),$G51),IF($I51="",$G51,$I51))-$F51))</f>
      </c>
      <c r="P51" s="12">
        <f>IF(OR($N51="",$M51="",$M51=0),"",$N51/$M51)</f>
      </c>
      <c r="Q51" s="12">
        <f>IF(OR($P51="",$O51=""),"",$P51*365/$O51)</f>
      </c>
      <c r="R51">
        <f>IF($N51="",0,$M51*$O51)</f>
      </c>
      <c r="S51">
        <f>IF(OR($A51="",LEFT($B51,5)="LEAPS"),0,$D51*100*$E51)</f>
      </c>
    </row>
    <row r="52" spans="1:19" x14ac:dyDescent="0.25">
      <c r="A52" s="13"/>
      <c r="B52" s="14"/>
      <c r="C52" s="15"/>
      <c r="D52" s="15"/>
      <c r="E52" s="16"/>
      <c r="F52" s="17"/>
      <c r="G52" s="17"/>
      <c r="H52" s="14"/>
      <c r="I52" s="17"/>
      <c r="J52" s="15"/>
      <c r="K52" s="15"/>
      <c r="L52" s="15"/>
      <c r="M52" s="9">
        <f>IF($A52="","",IF(LEFT($B52,5)="LEAPS",$D52,$C52)*100*$E52)</f>
      </c>
      <c r="N52" s="10">
        <f>IF(OR($A52="",ISNUMBER(MATCH(LOWER($H52),{"open",""},0))),"",IF(LEFT($B52,5)="LEAPS",-1,1)*($D52-IF(ISNUMBER(MATCH(LOWER($H52),{"closed"},0)),$J52,0))*100*$E52-$K52-$L52)</f>
      </c>
      <c r="O52" s="11">
        <f>IF(OR($A52="",$F52=""),"",MAX(1,IF(ISNUMBER(MATCH(LOWER($H52),{"open",""},0)),MIN(TODAY(),$G52),IF($I52="",$G52,$I52))-$F52))</f>
      </c>
      <c r="P52" s="12">
        <f>IF(OR($N52="",$M52="",$M52=0),"",$N52/$M52)</f>
      </c>
      <c r="Q52" s="12">
        <f>IF(OR($P52="",$O52=""),"",$P52*365/$O52)</f>
      </c>
      <c r="R52">
        <f>IF($N52="",0,$M52*$O52)</f>
      </c>
      <c r="S52">
        <f>IF(OR($A52="",LEFT($B52,5)="LEAPS"),0,$D52*100*$E52)</f>
      </c>
    </row>
    <row r="53" spans="1:19" x14ac:dyDescent="0.25">
      <c r="A53" s="13"/>
      <c r="B53" s="14"/>
      <c r="C53" s="15"/>
      <c r="D53" s="15"/>
      <c r="E53" s="16"/>
      <c r="F53" s="17"/>
      <c r="G53" s="17"/>
      <c r="H53" s="14"/>
      <c r="I53" s="17"/>
      <c r="J53" s="15"/>
      <c r="K53" s="15"/>
      <c r="L53" s="15"/>
      <c r="M53" s="9">
        <f>IF($A53="","",IF(LEFT($B53,5)="LEAPS",$D53,$C53)*100*$E53)</f>
      </c>
      <c r="N53" s="10">
        <f>IF(OR($A53="",ISNUMBER(MATCH(LOWER($H53),{"open",""},0))),"",IF(LEFT($B53,5)="LEAPS",-1,1)*($D53-IF(ISNUMBER(MATCH(LOWER($H53),{"closed"},0)),$J53,0))*100*$E53-$K53-$L53)</f>
      </c>
      <c r="O53" s="11">
        <f>IF(OR($A53="",$F53=""),"",MAX(1,IF(ISNUMBER(MATCH(LOWER($H53),{"open",""},0)),MIN(TODAY(),$G53),IF($I53="",$G53,$I53))-$F53))</f>
      </c>
      <c r="P53" s="12">
        <f>IF(OR($N53="",$M53="",$M53=0),"",$N53/$M53)</f>
      </c>
      <c r="Q53" s="12">
        <f>IF(OR($P53="",$O53=""),"",$P53*365/$O53)</f>
      </c>
      <c r="R53">
        <f>IF($N53="",0,$M53*$O53)</f>
      </c>
      <c r="S53">
        <f>IF(OR($A53="",LEFT($B53,5)="LEAPS"),0,$D53*100*$E53)</f>
      </c>
    </row>
    <row r="54" spans="1:19" x14ac:dyDescent="0.25">
      <c r="A54" s="13"/>
      <c r="B54" s="14"/>
      <c r="C54" s="15"/>
      <c r="D54" s="15"/>
      <c r="E54" s="16"/>
      <c r="F54" s="17"/>
      <c r="G54" s="17"/>
      <c r="H54" s="14"/>
      <c r="I54" s="17"/>
      <c r="J54" s="15"/>
      <c r="K54" s="15"/>
      <c r="L54" s="15"/>
      <c r="M54" s="9">
        <f>IF($A54="","",IF(LEFT($B54,5)="LEAPS",$D54,$C54)*100*$E54)</f>
      </c>
      <c r="N54" s="10">
        <f>IF(OR($A54="",ISNUMBER(MATCH(LOWER($H54),{"open",""},0))),"",IF(LEFT($B54,5)="LEAPS",-1,1)*($D54-IF(ISNUMBER(MATCH(LOWER($H54),{"closed"},0)),$J54,0))*100*$E54-$K54-$L54)</f>
      </c>
      <c r="O54" s="11">
        <f>IF(OR($A54="",$F54=""),"",MAX(1,IF(ISNUMBER(MATCH(LOWER($H54),{"open",""},0)),MIN(TODAY(),$G54),IF($I54="",$G54,$I54))-$F54))</f>
      </c>
      <c r="P54" s="12">
        <f>IF(OR($N54="",$M54="",$M54=0),"",$N54/$M54)</f>
      </c>
      <c r="Q54" s="12">
        <f>IF(OR($P54="",$O54=""),"",$P54*365/$O54)</f>
      </c>
      <c r="R54">
        <f>IF($N54="",0,$M54*$O54)</f>
      </c>
      <c r="S54">
        <f>IF(OR($A54="",LEFT($B54,5)="LEAPS"),0,$D54*100*$E54)</f>
      </c>
    </row>
    <row r="55" spans="1:19" x14ac:dyDescent="0.25">
      <c r="A55" s="13"/>
      <c r="B55" s="14"/>
      <c r="C55" s="15"/>
      <c r="D55" s="15"/>
      <c r="E55" s="16"/>
      <c r="F55" s="17"/>
      <c r="G55" s="17"/>
      <c r="H55" s="14"/>
      <c r="I55" s="17"/>
      <c r="J55" s="15"/>
      <c r="K55" s="15"/>
      <c r="L55" s="15"/>
      <c r="M55" s="9">
        <f>IF($A55="","",IF(LEFT($B55,5)="LEAPS",$D55,$C55)*100*$E55)</f>
      </c>
      <c r="N55" s="10">
        <f>IF(OR($A55="",ISNUMBER(MATCH(LOWER($H55),{"open",""},0))),"",IF(LEFT($B55,5)="LEAPS",-1,1)*($D55-IF(ISNUMBER(MATCH(LOWER($H55),{"closed"},0)),$J55,0))*100*$E55-$K55-$L55)</f>
      </c>
      <c r="O55" s="11">
        <f>IF(OR($A55="",$F55=""),"",MAX(1,IF(ISNUMBER(MATCH(LOWER($H55),{"open",""},0)),MIN(TODAY(),$G55),IF($I55="",$G55,$I55))-$F55))</f>
      </c>
      <c r="P55" s="12">
        <f>IF(OR($N55="",$M55="",$M55=0),"",$N55/$M55)</f>
      </c>
      <c r="Q55" s="12">
        <f>IF(OR($P55="",$O55=""),"",$P55*365/$O55)</f>
      </c>
      <c r="R55">
        <f>IF($N55="",0,$M55*$O55)</f>
      </c>
      <c r="S55">
        <f>IF(OR($A55="",LEFT($B55,5)="LEAPS"),0,$D55*100*$E55)</f>
      </c>
    </row>
    <row r="56" spans="1:19" x14ac:dyDescent="0.25">
      <c r="A56" s="13"/>
      <c r="B56" s="14"/>
      <c r="C56" s="15"/>
      <c r="D56" s="15"/>
      <c r="E56" s="16"/>
      <c r="F56" s="17"/>
      <c r="G56" s="17"/>
      <c r="H56" s="14"/>
      <c r="I56" s="17"/>
      <c r="J56" s="15"/>
      <c r="K56" s="15"/>
      <c r="L56" s="15"/>
      <c r="M56" s="9">
        <f>IF($A56="","",IF(LEFT($B56,5)="LEAPS",$D56,$C56)*100*$E56)</f>
      </c>
      <c r="N56" s="10">
        <f>IF(OR($A56="",ISNUMBER(MATCH(LOWER($H56),{"open",""},0))),"",IF(LEFT($B56,5)="LEAPS",-1,1)*($D56-IF(ISNUMBER(MATCH(LOWER($H56),{"closed"},0)),$J56,0))*100*$E56-$K56-$L56)</f>
      </c>
      <c r="O56" s="11">
        <f>IF(OR($A56="",$F56=""),"",MAX(1,IF(ISNUMBER(MATCH(LOWER($H56),{"open",""},0)),MIN(TODAY(),$G56),IF($I56="",$G56,$I56))-$F56))</f>
      </c>
      <c r="P56" s="12">
        <f>IF(OR($N56="",$M56="",$M56=0),"",$N56/$M56)</f>
      </c>
      <c r="Q56" s="12">
        <f>IF(OR($P56="",$O56=""),"",$P56*365/$O56)</f>
      </c>
      <c r="R56">
        <f>IF($N56="",0,$M56*$O56)</f>
      </c>
      <c r="S56">
        <f>IF(OR($A56="",LEFT($B56,5)="LEAPS"),0,$D56*100*$E56)</f>
      </c>
    </row>
    <row r="57" spans="1:19" x14ac:dyDescent="0.25">
      <c r="A57" s="13"/>
      <c r="B57" s="14"/>
      <c r="C57" s="15"/>
      <c r="D57" s="15"/>
      <c r="E57" s="16"/>
      <c r="F57" s="17"/>
      <c r="G57" s="17"/>
      <c r="H57" s="14"/>
      <c r="I57" s="17"/>
      <c r="J57" s="15"/>
      <c r="K57" s="15"/>
      <c r="L57" s="15"/>
      <c r="M57" s="9">
        <f>IF($A57="","",IF(LEFT($B57,5)="LEAPS",$D57,$C57)*100*$E57)</f>
      </c>
      <c r="N57" s="10">
        <f>IF(OR($A57="",ISNUMBER(MATCH(LOWER($H57),{"open",""},0))),"",IF(LEFT($B57,5)="LEAPS",-1,1)*($D57-IF(ISNUMBER(MATCH(LOWER($H57),{"closed"},0)),$J57,0))*100*$E57-$K57-$L57)</f>
      </c>
      <c r="O57" s="11">
        <f>IF(OR($A57="",$F57=""),"",MAX(1,IF(ISNUMBER(MATCH(LOWER($H57),{"open",""},0)),MIN(TODAY(),$G57),IF($I57="",$G57,$I57))-$F57))</f>
      </c>
      <c r="P57" s="12">
        <f>IF(OR($N57="",$M57="",$M57=0),"",$N57/$M57)</f>
      </c>
      <c r="Q57" s="12">
        <f>IF(OR($P57="",$O57=""),"",$P57*365/$O57)</f>
      </c>
      <c r="R57">
        <f>IF($N57="",0,$M57*$O57)</f>
      </c>
      <c r="S57">
        <f>IF(OR($A57="",LEFT($B57,5)="LEAPS"),0,$D57*100*$E57)</f>
      </c>
    </row>
    <row r="58" spans="1:19" x14ac:dyDescent="0.25">
      <c r="A58" s="13"/>
      <c r="B58" s="14"/>
      <c r="C58" s="15"/>
      <c r="D58" s="15"/>
      <c r="E58" s="16"/>
      <c r="F58" s="17"/>
      <c r="G58" s="17"/>
      <c r="H58" s="14"/>
      <c r="I58" s="17"/>
      <c r="J58" s="15"/>
      <c r="K58" s="15"/>
      <c r="L58" s="15"/>
      <c r="M58" s="9">
        <f>IF($A58="","",IF(LEFT($B58,5)="LEAPS",$D58,$C58)*100*$E58)</f>
      </c>
      <c r="N58" s="10">
        <f>IF(OR($A58="",ISNUMBER(MATCH(LOWER($H58),{"open",""},0))),"",IF(LEFT($B58,5)="LEAPS",-1,1)*($D58-IF(ISNUMBER(MATCH(LOWER($H58),{"closed"},0)),$J58,0))*100*$E58-$K58-$L58)</f>
      </c>
      <c r="O58" s="11">
        <f>IF(OR($A58="",$F58=""),"",MAX(1,IF(ISNUMBER(MATCH(LOWER($H58),{"open",""},0)),MIN(TODAY(),$G58),IF($I58="",$G58,$I58))-$F58))</f>
      </c>
      <c r="P58" s="12">
        <f>IF(OR($N58="",$M58="",$M58=0),"",$N58/$M58)</f>
      </c>
      <c r="Q58" s="12">
        <f>IF(OR($P58="",$O58=""),"",$P58*365/$O58)</f>
      </c>
      <c r="R58">
        <f>IF($N58="",0,$M58*$O58)</f>
      </c>
      <c r="S58">
        <f>IF(OR($A58="",LEFT($B58,5)="LEAPS"),0,$D58*100*$E58)</f>
      </c>
    </row>
    <row r="59" spans="1:19" x14ac:dyDescent="0.25">
      <c r="A59" s="13"/>
      <c r="B59" s="14"/>
      <c r="C59" s="15"/>
      <c r="D59" s="15"/>
      <c r="E59" s="16"/>
      <c r="F59" s="17"/>
      <c r="G59" s="17"/>
      <c r="H59" s="14"/>
      <c r="I59" s="17"/>
      <c r="J59" s="15"/>
      <c r="K59" s="15"/>
      <c r="L59" s="15"/>
      <c r="M59" s="9">
        <f>IF($A59="","",IF(LEFT($B59,5)="LEAPS",$D59,$C59)*100*$E59)</f>
      </c>
      <c r="N59" s="10">
        <f>IF(OR($A59="",ISNUMBER(MATCH(LOWER($H59),{"open",""},0))),"",IF(LEFT($B59,5)="LEAPS",-1,1)*($D59-IF(ISNUMBER(MATCH(LOWER($H59),{"closed"},0)),$J59,0))*100*$E59-$K59-$L59)</f>
      </c>
      <c r="O59" s="11">
        <f>IF(OR($A59="",$F59=""),"",MAX(1,IF(ISNUMBER(MATCH(LOWER($H59),{"open",""},0)),MIN(TODAY(),$G59),IF($I59="",$G59,$I59))-$F59))</f>
      </c>
      <c r="P59" s="12">
        <f>IF(OR($N59="",$M59="",$M59=0),"",$N59/$M59)</f>
      </c>
      <c r="Q59" s="12">
        <f>IF(OR($P59="",$O59=""),"",$P59*365/$O59)</f>
      </c>
      <c r="R59">
        <f>IF($N59="",0,$M59*$O59)</f>
      </c>
      <c r="S59">
        <f>IF(OR($A59="",LEFT($B59,5)="LEAPS"),0,$D59*100*$E59)</f>
      </c>
    </row>
    <row r="60" spans="1:19" x14ac:dyDescent="0.25">
      <c r="A60" s="13"/>
      <c r="B60" s="14"/>
      <c r="C60" s="15"/>
      <c r="D60" s="15"/>
      <c r="E60" s="16"/>
      <c r="F60" s="17"/>
      <c r="G60" s="17"/>
      <c r="H60" s="14"/>
      <c r="I60" s="17"/>
      <c r="J60" s="15"/>
      <c r="K60" s="15"/>
      <c r="L60" s="15"/>
      <c r="M60" s="9">
        <f>IF($A60="","",IF(LEFT($B60,5)="LEAPS",$D60,$C60)*100*$E60)</f>
      </c>
      <c r="N60" s="10">
        <f>IF(OR($A60="",ISNUMBER(MATCH(LOWER($H60),{"open",""},0))),"",IF(LEFT($B60,5)="LEAPS",-1,1)*($D60-IF(ISNUMBER(MATCH(LOWER($H60),{"closed"},0)),$J60,0))*100*$E60-$K60-$L60)</f>
      </c>
      <c r="O60" s="11">
        <f>IF(OR($A60="",$F60=""),"",MAX(1,IF(ISNUMBER(MATCH(LOWER($H60),{"open",""},0)),MIN(TODAY(),$G60),IF($I60="",$G60,$I60))-$F60))</f>
      </c>
      <c r="P60" s="12">
        <f>IF(OR($N60="",$M60="",$M60=0),"",$N60/$M60)</f>
      </c>
      <c r="Q60" s="12">
        <f>IF(OR($P60="",$O60=""),"",$P60*365/$O60)</f>
      </c>
      <c r="R60">
        <f>IF($N60="",0,$M60*$O60)</f>
      </c>
      <c r="S60">
        <f>IF(OR($A60="",LEFT($B60,5)="LEAPS"),0,$D60*100*$E60)</f>
      </c>
    </row>
    <row r="61" spans="1:19" x14ac:dyDescent="0.25">
      <c r="A61" s="13"/>
      <c r="B61" s="14"/>
      <c r="C61" s="15"/>
      <c r="D61" s="15"/>
      <c r="E61" s="16"/>
      <c r="F61" s="17"/>
      <c r="G61" s="17"/>
      <c r="H61" s="14"/>
      <c r="I61" s="17"/>
      <c r="J61" s="15"/>
      <c r="K61" s="15"/>
      <c r="L61" s="15"/>
      <c r="M61" s="9">
        <f>IF($A61="","",IF(LEFT($B61,5)="LEAPS",$D61,$C61)*100*$E61)</f>
      </c>
      <c r="N61" s="10">
        <f>IF(OR($A61="",ISNUMBER(MATCH(LOWER($H61),{"open",""},0))),"",IF(LEFT($B61,5)="LEAPS",-1,1)*($D61-IF(ISNUMBER(MATCH(LOWER($H61),{"closed"},0)),$J61,0))*100*$E61-$K61-$L61)</f>
      </c>
      <c r="O61" s="11">
        <f>IF(OR($A61="",$F61=""),"",MAX(1,IF(ISNUMBER(MATCH(LOWER($H61),{"open",""},0)),MIN(TODAY(),$G61),IF($I61="",$G61,$I61))-$F61))</f>
      </c>
      <c r="P61" s="12">
        <f>IF(OR($N61="",$M61="",$M61=0),"",$N61/$M61)</f>
      </c>
      <c r="Q61" s="12">
        <f>IF(OR($P61="",$O61=""),"",$P61*365/$O61)</f>
      </c>
      <c r="R61">
        <f>IF($N61="",0,$M61*$O61)</f>
      </c>
      <c r="S61">
        <f>IF(OR($A61="",LEFT($B61,5)="LEAPS"),0,$D61*100*$E61)</f>
      </c>
    </row>
    <row r="62" spans="1:19" x14ac:dyDescent="0.25">
      <c r="A62" s="13"/>
      <c r="B62" s="14"/>
      <c r="C62" s="15"/>
      <c r="D62" s="15"/>
      <c r="E62" s="16"/>
      <c r="F62" s="17"/>
      <c r="G62" s="17"/>
      <c r="H62" s="14"/>
      <c r="I62" s="17"/>
      <c r="J62" s="15"/>
      <c r="K62" s="15"/>
      <c r="L62" s="15"/>
      <c r="M62" s="9">
        <f>IF($A62="","",IF(LEFT($B62,5)="LEAPS",$D62,$C62)*100*$E62)</f>
      </c>
      <c r="N62" s="10">
        <f>IF(OR($A62="",ISNUMBER(MATCH(LOWER($H62),{"open",""},0))),"",IF(LEFT($B62,5)="LEAPS",-1,1)*($D62-IF(ISNUMBER(MATCH(LOWER($H62),{"closed"},0)),$J62,0))*100*$E62-$K62-$L62)</f>
      </c>
      <c r="O62" s="11">
        <f>IF(OR($A62="",$F62=""),"",MAX(1,IF(ISNUMBER(MATCH(LOWER($H62),{"open",""},0)),MIN(TODAY(),$G62),IF($I62="",$G62,$I62))-$F62))</f>
      </c>
      <c r="P62" s="12">
        <f>IF(OR($N62="",$M62="",$M62=0),"",$N62/$M62)</f>
      </c>
      <c r="Q62" s="12">
        <f>IF(OR($P62="",$O62=""),"",$P62*365/$O62)</f>
      </c>
      <c r="R62">
        <f>IF($N62="",0,$M62*$O62)</f>
      </c>
      <c r="S62">
        <f>IF(OR($A62="",LEFT($B62,5)="LEAPS"),0,$D62*100*$E62)</f>
      </c>
    </row>
    <row r="63" spans="1:19" x14ac:dyDescent="0.25">
      <c r="A63" s="13"/>
      <c r="B63" s="14"/>
      <c r="C63" s="15"/>
      <c r="D63" s="15"/>
      <c r="E63" s="16"/>
      <c r="F63" s="17"/>
      <c r="G63" s="17"/>
      <c r="H63" s="14"/>
      <c r="I63" s="17"/>
      <c r="J63" s="15"/>
      <c r="K63" s="15"/>
      <c r="L63" s="15"/>
      <c r="M63" s="9">
        <f>IF($A63="","",IF(LEFT($B63,5)="LEAPS",$D63,$C63)*100*$E63)</f>
      </c>
      <c r="N63" s="10">
        <f>IF(OR($A63="",ISNUMBER(MATCH(LOWER($H63),{"open",""},0))),"",IF(LEFT($B63,5)="LEAPS",-1,1)*($D63-IF(ISNUMBER(MATCH(LOWER($H63),{"closed"},0)),$J63,0))*100*$E63-$K63-$L63)</f>
      </c>
      <c r="O63" s="11">
        <f>IF(OR($A63="",$F63=""),"",MAX(1,IF(ISNUMBER(MATCH(LOWER($H63),{"open",""},0)),MIN(TODAY(),$G63),IF($I63="",$G63,$I63))-$F63))</f>
      </c>
      <c r="P63" s="12">
        <f>IF(OR($N63="",$M63="",$M63=0),"",$N63/$M63)</f>
      </c>
      <c r="Q63" s="12">
        <f>IF(OR($P63="",$O63=""),"",$P63*365/$O63)</f>
      </c>
      <c r="R63">
        <f>IF($N63="",0,$M63*$O63)</f>
      </c>
      <c r="S63">
        <f>IF(OR($A63="",LEFT($B63,5)="LEAPS"),0,$D63*100*$E63)</f>
      </c>
    </row>
    <row r="64" spans="1:19" x14ac:dyDescent="0.25">
      <c r="A64" s="13"/>
      <c r="B64" s="14"/>
      <c r="C64" s="15"/>
      <c r="D64" s="15"/>
      <c r="E64" s="16"/>
      <c r="F64" s="17"/>
      <c r="G64" s="17"/>
      <c r="H64" s="14"/>
      <c r="I64" s="17"/>
      <c r="J64" s="15"/>
      <c r="K64" s="15"/>
      <c r="L64" s="15"/>
      <c r="M64" s="9">
        <f>IF($A64="","",IF(LEFT($B64,5)="LEAPS",$D64,$C64)*100*$E64)</f>
      </c>
      <c r="N64" s="10">
        <f>IF(OR($A64="",ISNUMBER(MATCH(LOWER($H64),{"open",""},0))),"",IF(LEFT($B64,5)="LEAPS",-1,1)*($D64-IF(ISNUMBER(MATCH(LOWER($H64),{"closed"},0)),$J64,0))*100*$E64-$K64-$L64)</f>
      </c>
      <c r="O64" s="11">
        <f>IF(OR($A64="",$F64=""),"",MAX(1,IF(ISNUMBER(MATCH(LOWER($H64),{"open",""},0)),MIN(TODAY(),$G64),IF($I64="",$G64,$I64))-$F64))</f>
      </c>
      <c r="P64" s="12">
        <f>IF(OR($N64="",$M64="",$M64=0),"",$N64/$M64)</f>
      </c>
      <c r="Q64" s="12">
        <f>IF(OR($P64="",$O64=""),"",$P64*365/$O64)</f>
      </c>
      <c r="R64">
        <f>IF($N64="",0,$M64*$O64)</f>
      </c>
      <c r="S64">
        <f>IF(OR($A64="",LEFT($B64,5)="LEAPS"),0,$D64*100*$E64)</f>
      </c>
    </row>
    <row r="65" spans="1:19" x14ac:dyDescent="0.25">
      <c r="A65" s="13"/>
      <c r="B65" s="14"/>
      <c r="C65" s="15"/>
      <c r="D65" s="15"/>
      <c r="E65" s="16"/>
      <c r="F65" s="17"/>
      <c r="G65" s="17"/>
      <c r="H65" s="14"/>
      <c r="I65" s="17"/>
      <c r="J65" s="15"/>
      <c r="K65" s="15"/>
      <c r="L65" s="15"/>
      <c r="M65" s="9">
        <f>IF($A65="","",IF(LEFT($B65,5)="LEAPS",$D65,$C65)*100*$E65)</f>
      </c>
      <c r="N65" s="10">
        <f>IF(OR($A65="",ISNUMBER(MATCH(LOWER($H65),{"open",""},0))),"",IF(LEFT($B65,5)="LEAPS",-1,1)*($D65-IF(ISNUMBER(MATCH(LOWER($H65),{"closed"},0)),$J65,0))*100*$E65-$K65-$L65)</f>
      </c>
      <c r="O65" s="11">
        <f>IF(OR($A65="",$F65=""),"",MAX(1,IF(ISNUMBER(MATCH(LOWER($H65),{"open",""},0)),MIN(TODAY(),$G65),IF($I65="",$G65,$I65))-$F65))</f>
      </c>
      <c r="P65" s="12">
        <f>IF(OR($N65="",$M65="",$M65=0),"",$N65/$M65)</f>
      </c>
      <c r="Q65" s="12">
        <f>IF(OR($P65="",$O65=""),"",$P65*365/$O65)</f>
      </c>
      <c r="R65">
        <f>IF($N65="",0,$M65*$O65)</f>
      </c>
      <c r="S65">
        <f>IF(OR($A65="",LEFT($B65,5)="LEAPS"),0,$D65*100*$E65)</f>
      </c>
    </row>
    <row r="66" spans="1:19" x14ac:dyDescent="0.25">
      <c r="A66" s="13"/>
      <c r="B66" s="14"/>
      <c r="C66" s="15"/>
      <c r="D66" s="15"/>
      <c r="E66" s="16"/>
      <c r="F66" s="17"/>
      <c r="G66" s="17"/>
      <c r="H66" s="14"/>
      <c r="I66" s="17"/>
      <c r="J66" s="15"/>
      <c r="K66" s="15"/>
      <c r="L66" s="15"/>
      <c r="M66" s="9">
        <f>IF($A66="","",IF(LEFT($B66,5)="LEAPS",$D66,$C66)*100*$E66)</f>
      </c>
      <c r="N66" s="10">
        <f>IF(OR($A66="",ISNUMBER(MATCH(LOWER($H66),{"open",""},0))),"",IF(LEFT($B66,5)="LEAPS",-1,1)*($D66-IF(ISNUMBER(MATCH(LOWER($H66),{"closed"},0)),$J66,0))*100*$E66-$K66-$L66)</f>
      </c>
      <c r="O66" s="11">
        <f>IF(OR($A66="",$F66=""),"",MAX(1,IF(ISNUMBER(MATCH(LOWER($H66),{"open",""},0)),MIN(TODAY(),$G66),IF($I66="",$G66,$I66))-$F66))</f>
      </c>
      <c r="P66" s="12">
        <f>IF(OR($N66="",$M66="",$M66=0),"",$N66/$M66)</f>
      </c>
      <c r="Q66" s="12">
        <f>IF(OR($P66="",$O66=""),"",$P66*365/$O66)</f>
      </c>
      <c r="R66">
        <f>IF($N66="",0,$M66*$O66)</f>
      </c>
      <c r="S66">
        <f>IF(OR($A66="",LEFT($B66,5)="LEAPS"),0,$D66*100*$E66)</f>
      </c>
    </row>
    <row r="67" spans="1:19" x14ac:dyDescent="0.25">
      <c r="A67" s="13"/>
      <c r="B67" s="14"/>
      <c r="C67" s="15"/>
      <c r="D67" s="15"/>
      <c r="E67" s="16"/>
      <c r="F67" s="17"/>
      <c r="G67" s="17"/>
      <c r="H67" s="14"/>
      <c r="I67" s="17"/>
      <c r="J67" s="15"/>
      <c r="K67" s="15"/>
      <c r="L67" s="15"/>
      <c r="M67" s="9">
        <f>IF($A67="","",IF(LEFT($B67,5)="LEAPS",$D67,$C67)*100*$E67)</f>
      </c>
      <c r="N67" s="10">
        <f>IF(OR($A67="",ISNUMBER(MATCH(LOWER($H67),{"open",""},0))),"",IF(LEFT($B67,5)="LEAPS",-1,1)*($D67-IF(ISNUMBER(MATCH(LOWER($H67),{"closed"},0)),$J67,0))*100*$E67-$K67-$L67)</f>
      </c>
      <c r="O67" s="11">
        <f>IF(OR($A67="",$F67=""),"",MAX(1,IF(ISNUMBER(MATCH(LOWER($H67),{"open",""},0)),MIN(TODAY(),$G67),IF($I67="",$G67,$I67))-$F67))</f>
      </c>
      <c r="P67" s="12">
        <f>IF(OR($N67="",$M67="",$M67=0),"",$N67/$M67)</f>
      </c>
      <c r="Q67" s="12">
        <f>IF(OR($P67="",$O67=""),"",$P67*365/$O67)</f>
      </c>
      <c r="R67">
        <f>IF($N67="",0,$M67*$O67)</f>
      </c>
      <c r="S67">
        <f>IF(OR($A67="",LEFT($B67,5)="LEAPS"),0,$D67*100*$E67)</f>
      </c>
    </row>
    <row r="68" spans="1:19" x14ac:dyDescent="0.25">
      <c r="A68" s="13"/>
      <c r="B68" s="14"/>
      <c r="C68" s="15"/>
      <c r="D68" s="15"/>
      <c r="E68" s="16"/>
      <c r="F68" s="17"/>
      <c r="G68" s="17"/>
      <c r="H68" s="14"/>
      <c r="I68" s="17"/>
      <c r="J68" s="15"/>
      <c r="K68" s="15"/>
      <c r="L68" s="15"/>
      <c r="M68" s="9">
        <f>IF($A68="","",IF(LEFT($B68,5)="LEAPS",$D68,$C68)*100*$E68)</f>
      </c>
      <c r="N68" s="10">
        <f>IF(OR($A68="",ISNUMBER(MATCH(LOWER($H68),{"open",""},0))),"",IF(LEFT($B68,5)="LEAPS",-1,1)*($D68-IF(ISNUMBER(MATCH(LOWER($H68),{"closed"},0)),$J68,0))*100*$E68-$K68-$L68)</f>
      </c>
      <c r="O68" s="11">
        <f>IF(OR($A68="",$F68=""),"",MAX(1,IF(ISNUMBER(MATCH(LOWER($H68),{"open",""},0)),MIN(TODAY(),$G68),IF($I68="",$G68,$I68))-$F68))</f>
      </c>
      <c r="P68" s="12">
        <f>IF(OR($N68="",$M68="",$M68=0),"",$N68/$M68)</f>
      </c>
      <c r="Q68" s="12">
        <f>IF(OR($P68="",$O68=""),"",$P68*365/$O68)</f>
      </c>
      <c r="R68">
        <f>IF($N68="",0,$M68*$O68)</f>
      </c>
      <c r="S68">
        <f>IF(OR($A68="",LEFT($B68,5)="LEAPS"),0,$D68*100*$E68)</f>
      </c>
    </row>
    <row r="69" spans="1:19" x14ac:dyDescent="0.25">
      <c r="A69" s="13"/>
      <c r="B69" s="14"/>
      <c r="C69" s="15"/>
      <c r="D69" s="15"/>
      <c r="E69" s="16"/>
      <c r="F69" s="17"/>
      <c r="G69" s="17"/>
      <c r="H69" s="14"/>
      <c r="I69" s="17"/>
      <c r="J69" s="15"/>
      <c r="K69" s="15"/>
      <c r="L69" s="15"/>
      <c r="M69" s="9">
        <f>IF($A69="","",IF(LEFT($B69,5)="LEAPS",$D69,$C69)*100*$E69)</f>
      </c>
      <c r="N69" s="10">
        <f>IF(OR($A69="",ISNUMBER(MATCH(LOWER($H69),{"open",""},0))),"",IF(LEFT($B69,5)="LEAPS",-1,1)*($D69-IF(ISNUMBER(MATCH(LOWER($H69),{"closed"},0)),$J69,0))*100*$E69-$K69-$L69)</f>
      </c>
      <c r="O69" s="11">
        <f>IF(OR($A69="",$F69=""),"",MAX(1,IF(ISNUMBER(MATCH(LOWER($H69),{"open",""},0)),MIN(TODAY(),$G69),IF($I69="",$G69,$I69))-$F69))</f>
      </c>
      <c r="P69" s="12">
        <f>IF(OR($N69="",$M69="",$M69=0),"",$N69/$M69)</f>
      </c>
      <c r="Q69" s="12">
        <f>IF(OR($P69="",$O69=""),"",$P69*365/$O69)</f>
      </c>
      <c r="R69">
        <f>IF($N69="",0,$M69*$O69)</f>
      </c>
      <c r="S69">
        <f>IF(OR($A69="",LEFT($B69,5)="LEAPS"),0,$D69*100*$E69)</f>
      </c>
    </row>
    <row r="70" spans="1:19" x14ac:dyDescent="0.25">
      <c r="A70" s="13"/>
      <c r="B70" s="14"/>
      <c r="C70" s="15"/>
      <c r="D70" s="15"/>
      <c r="E70" s="16"/>
      <c r="F70" s="17"/>
      <c r="G70" s="17"/>
      <c r="H70" s="14"/>
      <c r="I70" s="17"/>
      <c r="J70" s="15"/>
      <c r="K70" s="15"/>
      <c r="L70" s="15"/>
      <c r="M70" s="9">
        <f>IF($A70="","",IF(LEFT($B70,5)="LEAPS",$D70,$C70)*100*$E70)</f>
      </c>
      <c r="N70" s="10">
        <f>IF(OR($A70="",ISNUMBER(MATCH(LOWER($H70),{"open",""},0))),"",IF(LEFT($B70,5)="LEAPS",-1,1)*($D70-IF(ISNUMBER(MATCH(LOWER($H70),{"closed"},0)),$J70,0))*100*$E70-$K70-$L70)</f>
      </c>
      <c r="O70" s="11">
        <f>IF(OR($A70="",$F70=""),"",MAX(1,IF(ISNUMBER(MATCH(LOWER($H70),{"open",""},0)),MIN(TODAY(),$G70),IF($I70="",$G70,$I70))-$F70))</f>
      </c>
      <c r="P70" s="12">
        <f>IF(OR($N70="",$M70="",$M70=0),"",$N70/$M70)</f>
      </c>
      <c r="Q70" s="12">
        <f>IF(OR($P70="",$O70=""),"",$P70*365/$O70)</f>
      </c>
      <c r="R70">
        <f>IF($N70="",0,$M70*$O70)</f>
      </c>
      <c r="S70">
        <f>IF(OR($A70="",LEFT($B70,5)="LEAPS"),0,$D70*100*$E70)</f>
      </c>
    </row>
    <row r="71" spans="1:19" x14ac:dyDescent="0.25">
      <c r="A71" s="13"/>
      <c r="B71" s="14"/>
      <c r="C71" s="15"/>
      <c r="D71" s="15"/>
      <c r="E71" s="16"/>
      <c r="F71" s="17"/>
      <c r="G71" s="17"/>
      <c r="H71" s="14"/>
      <c r="I71" s="17"/>
      <c r="J71" s="15"/>
      <c r="K71" s="15"/>
      <c r="L71" s="15"/>
      <c r="M71" s="9">
        <f>IF($A71="","",IF(LEFT($B71,5)="LEAPS",$D71,$C71)*100*$E71)</f>
      </c>
      <c r="N71" s="10">
        <f>IF(OR($A71="",ISNUMBER(MATCH(LOWER($H71),{"open",""},0))),"",IF(LEFT($B71,5)="LEAPS",-1,1)*($D71-IF(ISNUMBER(MATCH(LOWER($H71),{"closed"},0)),$J71,0))*100*$E71-$K71-$L71)</f>
      </c>
      <c r="O71" s="11">
        <f>IF(OR($A71="",$F71=""),"",MAX(1,IF(ISNUMBER(MATCH(LOWER($H71),{"open",""},0)),MIN(TODAY(),$G71),IF($I71="",$G71,$I71))-$F71))</f>
      </c>
      <c r="P71" s="12">
        <f>IF(OR($N71="",$M71="",$M71=0),"",$N71/$M71)</f>
      </c>
      <c r="Q71" s="12">
        <f>IF(OR($P71="",$O71=""),"",$P71*365/$O71)</f>
      </c>
      <c r="R71">
        <f>IF($N71="",0,$M71*$O71)</f>
      </c>
      <c r="S71">
        <f>IF(OR($A71="",LEFT($B71,5)="LEAPS"),0,$D71*100*$E71)</f>
      </c>
    </row>
    <row r="72" spans="1:19" x14ac:dyDescent="0.25">
      <c r="A72" s="13"/>
      <c r="B72" s="14"/>
      <c r="C72" s="15"/>
      <c r="D72" s="15"/>
      <c r="E72" s="16"/>
      <c r="F72" s="17"/>
      <c r="G72" s="17"/>
      <c r="H72" s="14"/>
      <c r="I72" s="17"/>
      <c r="J72" s="15"/>
      <c r="K72" s="15"/>
      <c r="L72" s="15"/>
      <c r="M72" s="9">
        <f>IF($A72="","",IF(LEFT($B72,5)="LEAPS",$D72,$C72)*100*$E72)</f>
      </c>
      <c r="N72" s="10">
        <f>IF(OR($A72="",ISNUMBER(MATCH(LOWER($H72),{"open",""},0))),"",IF(LEFT($B72,5)="LEAPS",-1,1)*($D72-IF(ISNUMBER(MATCH(LOWER($H72),{"closed"},0)),$J72,0))*100*$E72-$K72-$L72)</f>
      </c>
      <c r="O72" s="11">
        <f>IF(OR($A72="",$F72=""),"",MAX(1,IF(ISNUMBER(MATCH(LOWER($H72),{"open",""},0)),MIN(TODAY(),$G72),IF($I72="",$G72,$I72))-$F72))</f>
      </c>
      <c r="P72" s="12">
        <f>IF(OR($N72="",$M72="",$M72=0),"",$N72/$M72)</f>
      </c>
      <c r="Q72" s="12">
        <f>IF(OR($P72="",$O72=""),"",$P72*365/$O72)</f>
      </c>
      <c r="R72">
        <f>IF($N72="",0,$M72*$O72)</f>
      </c>
      <c r="S72">
        <f>IF(OR($A72="",LEFT($B72,5)="LEAPS"),0,$D72*100*$E72)</f>
      </c>
    </row>
    <row r="73" spans="1:19" x14ac:dyDescent="0.25">
      <c r="A73" s="13"/>
      <c r="B73" s="14"/>
      <c r="C73" s="15"/>
      <c r="D73" s="15"/>
      <c r="E73" s="16"/>
      <c r="F73" s="17"/>
      <c r="G73" s="17"/>
      <c r="H73" s="14"/>
      <c r="I73" s="17"/>
      <c r="J73" s="15"/>
      <c r="K73" s="15"/>
      <c r="L73" s="15"/>
      <c r="M73" s="9">
        <f>IF($A73="","",IF(LEFT($B73,5)="LEAPS",$D73,$C73)*100*$E73)</f>
      </c>
      <c r="N73" s="10">
        <f>IF(OR($A73="",ISNUMBER(MATCH(LOWER($H73),{"open",""},0))),"",IF(LEFT($B73,5)="LEAPS",-1,1)*($D73-IF(ISNUMBER(MATCH(LOWER($H73),{"closed"},0)),$J73,0))*100*$E73-$K73-$L73)</f>
      </c>
      <c r="O73" s="11">
        <f>IF(OR($A73="",$F73=""),"",MAX(1,IF(ISNUMBER(MATCH(LOWER($H73),{"open",""},0)),MIN(TODAY(),$G73),IF($I73="",$G73,$I73))-$F73))</f>
      </c>
      <c r="P73" s="12">
        <f>IF(OR($N73="",$M73="",$M73=0),"",$N73/$M73)</f>
      </c>
      <c r="Q73" s="12">
        <f>IF(OR($P73="",$O73=""),"",$P73*365/$O73)</f>
      </c>
      <c r="R73">
        <f>IF($N73="",0,$M73*$O73)</f>
      </c>
      <c r="S73">
        <f>IF(OR($A73="",LEFT($B73,5)="LEAPS"),0,$D73*100*$E73)</f>
      </c>
    </row>
    <row r="74" spans="1:19" x14ac:dyDescent="0.25">
      <c r="A74" s="13"/>
      <c r="B74" s="14"/>
      <c r="C74" s="15"/>
      <c r="D74" s="15"/>
      <c r="E74" s="16"/>
      <c r="F74" s="17"/>
      <c r="G74" s="17"/>
      <c r="H74" s="14"/>
      <c r="I74" s="17"/>
      <c r="J74" s="15"/>
      <c r="K74" s="15"/>
      <c r="L74" s="15"/>
      <c r="M74" s="9">
        <f>IF($A74="","",IF(LEFT($B74,5)="LEAPS",$D74,$C74)*100*$E74)</f>
      </c>
      <c r="N74" s="10">
        <f>IF(OR($A74="",ISNUMBER(MATCH(LOWER($H74),{"open",""},0))),"",IF(LEFT($B74,5)="LEAPS",-1,1)*($D74-IF(ISNUMBER(MATCH(LOWER($H74),{"closed"},0)),$J74,0))*100*$E74-$K74-$L74)</f>
      </c>
      <c r="O74" s="11">
        <f>IF(OR($A74="",$F74=""),"",MAX(1,IF(ISNUMBER(MATCH(LOWER($H74),{"open",""},0)),MIN(TODAY(),$G74),IF($I74="",$G74,$I74))-$F74))</f>
      </c>
      <c r="P74" s="12">
        <f>IF(OR($N74="",$M74="",$M74=0),"",$N74/$M74)</f>
      </c>
      <c r="Q74" s="12">
        <f>IF(OR($P74="",$O74=""),"",$P74*365/$O74)</f>
      </c>
      <c r="R74">
        <f>IF($N74="",0,$M74*$O74)</f>
      </c>
      <c r="S74">
        <f>IF(OR($A74="",LEFT($B74,5)="LEAPS"),0,$D74*100*$E74)</f>
      </c>
    </row>
    <row r="75" spans="1:19" x14ac:dyDescent="0.25">
      <c r="A75" s="13"/>
      <c r="B75" s="14"/>
      <c r="C75" s="15"/>
      <c r="D75" s="15"/>
      <c r="E75" s="16"/>
      <c r="F75" s="17"/>
      <c r="G75" s="17"/>
      <c r="H75" s="14"/>
      <c r="I75" s="17"/>
      <c r="J75" s="15"/>
      <c r="K75" s="15"/>
      <c r="L75" s="15"/>
      <c r="M75" s="9">
        <f>IF($A75="","",IF(LEFT($B75,5)="LEAPS",$D75,$C75)*100*$E75)</f>
      </c>
      <c r="N75" s="10">
        <f>IF(OR($A75="",ISNUMBER(MATCH(LOWER($H75),{"open",""},0))),"",IF(LEFT($B75,5)="LEAPS",-1,1)*($D75-IF(ISNUMBER(MATCH(LOWER($H75),{"closed"},0)),$J75,0))*100*$E75-$K75-$L75)</f>
      </c>
      <c r="O75" s="11">
        <f>IF(OR($A75="",$F75=""),"",MAX(1,IF(ISNUMBER(MATCH(LOWER($H75),{"open",""},0)),MIN(TODAY(),$G75),IF($I75="",$G75,$I75))-$F75))</f>
      </c>
      <c r="P75" s="12">
        <f>IF(OR($N75="",$M75="",$M75=0),"",$N75/$M75)</f>
      </c>
      <c r="Q75" s="12">
        <f>IF(OR($P75="",$O75=""),"",$P75*365/$O75)</f>
      </c>
      <c r="R75">
        <f>IF($N75="",0,$M75*$O75)</f>
      </c>
      <c r="S75">
        <f>IF(OR($A75="",LEFT($B75,5)="LEAPS"),0,$D75*100*$E75)</f>
      </c>
    </row>
    <row r="76" spans="1:19" x14ac:dyDescent="0.25">
      <c r="A76" s="13"/>
      <c r="B76" s="14"/>
      <c r="C76" s="15"/>
      <c r="D76" s="15"/>
      <c r="E76" s="16"/>
      <c r="F76" s="17"/>
      <c r="G76" s="17"/>
      <c r="H76" s="14"/>
      <c r="I76" s="17"/>
      <c r="J76" s="15"/>
      <c r="K76" s="15"/>
      <c r="L76" s="15"/>
      <c r="M76" s="9">
        <f>IF($A76="","",IF(LEFT($B76,5)="LEAPS",$D76,$C76)*100*$E76)</f>
      </c>
      <c r="N76" s="10">
        <f>IF(OR($A76="",ISNUMBER(MATCH(LOWER($H76),{"open",""},0))),"",IF(LEFT($B76,5)="LEAPS",-1,1)*($D76-IF(ISNUMBER(MATCH(LOWER($H76),{"closed"},0)),$J76,0))*100*$E76-$K76-$L76)</f>
      </c>
      <c r="O76" s="11">
        <f>IF(OR($A76="",$F76=""),"",MAX(1,IF(ISNUMBER(MATCH(LOWER($H76),{"open",""},0)),MIN(TODAY(),$G76),IF($I76="",$G76,$I76))-$F76))</f>
      </c>
      <c r="P76" s="12">
        <f>IF(OR($N76="",$M76="",$M76=0),"",$N76/$M76)</f>
      </c>
      <c r="Q76" s="12">
        <f>IF(OR($P76="",$O76=""),"",$P76*365/$O76)</f>
      </c>
      <c r="R76">
        <f>IF($N76="",0,$M76*$O76)</f>
      </c>
      <c r="S76">
        <f>IF(OR($A76="",LEFT($B76,5)="LEAPS"),0,$D76*100*$E76)</f>
      </c>
    </row>
    <row r="77" spans="1:19" x14ac:dyDescent="0.25">
      <c r="A77" s="13"/>
      <c r="B77" s="14"/>
      <c r="C77" s="15"/>
      <c r="D77" s="15"/>
      <c r="E77" s="16"/>
      <c r="F77" s="17"/>
      <c r="G77" s="17"/>
      <c r="H77" s="14"/>
      <c r="I77" s="17"/>
      <c r="J77" s="15"/>
      <c r="K77" s="15"/>
      <c r="L77" s="15"/>
      <c r="M77" s="9">
        <f>IF($A77="","",IF(LEFT($B77,5)="LEAPS",$D77,$C77)*100*$E77)</f>
      </c>
      <c r="N77" s="10">
        <f>IF(OR($A77="",ISNUMBER(MATCH(LOWER($H77),{"open",""},0))),"",IF(LEFT($B77,5)="LEAPS",-1,1)*($D77-IF(ISNUMBER(MATCH(LOWER($H77),{"closed"},0)),$J77,0))*100*$E77-$K77-$L77)</f>
      </c>
      <c r="O77" s="11">
        <f>IF(OR($A77="",$F77=""),"",MAX(1,IF(ISNUMBER(MATCH(LOWER($H77),{"open",""},0)),MIN(TODAY(),$G77),IF($I77="",$G77,$I77))-$F77))</f>
      </c>
      <c r="P77" s="12">
        <f>IF(OR($N77="",$M77="",$M77=0),"",$N77/$M77)</f>
      </c>
      <c r="Q77" s="12">
        <f>IF(OR($P77="",$O77=""),"",$P77*365/$O77)</f>
      </c>
      <c r="R77">
        <f>IF($N77="",0,$M77*$O77)</f>
      </c>
      <c r="S77">
        <f>IF(OR($A77="",LEFT($B77,5)="LEAPS"),0,$D77*100*$E77)</f>
      </c>
    </row>
    <row r="78" spans="1:19" x14ac:dyDescent="0.25">
      <c r="A78" s="13"/>
      <c r="B78" s="14"/>
      <c r="C78" s="15"/>
      <c r="D78" s="15"/>
      <c r="E78" s="16"/>
      <c r="F78" s="17"/>
      <c r="G78" s="17"/>
      <c r="H78" s="14"/>
      <c r="I78" s="17"/>
      <c r="J78" s="15"/>
      <c r="K78" s="15"/>
      <c r="L78" s="15"/>
      <c r="M78" s="9">
        <f>IF($A78="","",IF(LEFT($B78,5)="LEAPS",$D78,$C78)*100*$E78)</f>
      </c>
      <c r="N78" s="10">
        <f>IF(OR($A78="",ISNUMBER(MATCH(LOWER($H78),{"open",""},0))),"",IF(LEFT($B78,5)="LEAPS",-1,1)*($D78-IF(ISNUMBER(MATCH(LOWER($H78),{"closed"},0)),$J78,0))*100*$E78-$K78-$L78)</f>
      </c>
      <c r="O78" s="11">
        <f>IF(OR($A78="",$F78=""),"",MAX(1,IF(ISNUMBER(MATCH(LOWER($H78),{"open",""},0)),MIN(TODAY(),$G78),IF($I78="",$G78,$I78))-$F78))</f>
      </c>
      <c r="P78" s="12">
        <f>IF(OR($N78="",$M78="",$M78=0),"",$N78/$M78)</f>
      </c>
      <c r="Q78" s="12">
        <f>IF(OR($P78="",$O78=""),"",$P78*365/$O78)</f>
      </c>
      <c r="R78">
        <f>IF($N78="",0,$M78*$O78)</f>
      </c>
      <c r="S78">
        <f>IF(OR($A78="",LEFT($B78,5)="LEAPS"),0,$D78*100*$E78)</f>
      </c>
    </row>
    <row r="79" spans="1:19" x14ac:dyDescent="0.25">
      <c r="A79" s="13"/>
      <c r="B79" s="14"/>
      <c r="C79" s="15"/>
      <c r="D79" s="15"/>
      <c r="E79" s="16"/>
      <c r="F79" s="17"/>
      <c r="G79" s="17"/>
      <c r="H79" s="14"/>
      <c r="I79" s="17"/>
      <c r="J79" s="15"/>
      <c r="K79" s="15"/>
      <c r="L79" s="15"/>
      <c r="M79" s="9">
        <f>IF($A79="","",IF(LEFT($B79,5)="LEAPS",$D79,$C79)*100*$E79)</f>
      </c>
      <c r="N79" s="10">
        <f>IF(OR($A79="",ISNUMBER(MATCH(LOWER($H79),{"open",""},0))),"",IF(LEFT($B79,5)="LEAPS",-1,1)*($D79-IF(ISNUMBER(MATCH(LOWER($H79),{"closed"},0)),$J79,0))*100*$E79-$K79-$L79)</f>
      </c>
      <c r="O79" s="11">
        <f>IF(OR($A79="",$F79=""),"",MAX(1,IF(ISNUMBER(MATCH(LOWER($H79),{"open",""},0)),MIN(TODAY(),$G79),IF($I79="",$G79,$I79))-$F79))</f>
      </c>
      <c r="P79" s="12">
        <f>IF(OR($N79="",$M79="",$M79=0),"",$N79/$M79)</f>
      </c>
      <c r="Q79" s="12">
        <f>IF(OR($P79="",$O79=""),"",$P79*365/$O79)</f>
      </c>
      <c r="R79">
        <f>IF($N79="",0,$M79*$O79)</f>
      </c>
      <c r="S79">
        <f>IF(OR($A79="",LEFT($B79,5)="LEAPS"),0,$D79*100*$E79)</f>
      </c>
    </row>
    <row r="80" spans="1:19" x14ac:dyDescent="0.25">
      <c r="A80" s="13"/>
      <c r="B80" s="14"/>
      <c r="C80" s="15"/>
      <c r="D80" s="15"/>
      <c r="E80" s="16"/>
      <c r="F80" s="17"/>
      <c r="G80" s="17"/>
      <c r="H80" s="14"/>
      <c r="I80" s="17"/>
      <c r="J80" s="15"/>
      <c r="K80" s="15"/>
      <c r="L80" s="15"/>
      <c r="M80" s="9">
        <f>IF($A80="","",IF(LEFT($B80,5)="LEAPS",$D80,$C80)*100*$E80)</f>
      </c>
      <c r="N80" s="10">
        <f>IF(OR($A80="",ISNUMBER(MATCH(LOWER($H80),{"open",""},0))),"",IF(LEFT($B80,5)="LEAPS",-1,1)*($D80-IF(ISNUMBER(MATCH(LOWER($H80),{"closed"},0)),$J80,0))*100*$E80-$K80-$L80)</f>
      </c>
      <c r="O80" s="11">
        <f>IF(OR($A80="",$F80=""),"",MAX(1,IF(ISNUMBER(MATCH(LOWER($H80),{"open",""},0)),MIN(TODAY(),$G80),IF($I80="",$G80,$I80))-$F80))</f>
      </c>
      <c r="P80" s="12">
        <f>IF(OR($N80="",$M80="",$M80=0),"",$N80/$M80)</f>
      </c>
      <c r="Q80" s="12">
        <f>IF(OR($P80="",$O80=""),"",$P80*365/$O80)</f>
      </c>
      <c r="R80">
        <f>IF($N80="",0,$M80*$O80)</f>
      </c>
      <c r="S80">
        <f>IF(OR($A80="",LEFT($B80,5)="LEAPS"),0,$D80*100*$E80)</f>
      </c>
    </row>
    <row r="81" spans="1:19" x14ac:dyDescent="0.25">
      <c r="A81" s="13"/>
      <c r="B81" s="14"/>
      <c r="C81" s="15"/>
      <c r="D81" s="15"/>
      <c r="E81" s="16"/>
      <c r="F81" s="17"/>
      <c r="G81" s="17"/>
      <c r="H81" s="14"/>
      <c r="I81" s="17"/>
      <c r="J81" s="15"/>
      <c r="K81" s="15"/>
      <c r="L81" s="15"/>
      <c r="M81" s="9">
        <f>IF($A81="","",IF(LEFT($B81,5)="LEAPS",$D81,$C81)*100*$E81)</f>
      </c>
      <c r="N81" s="10">
        <f>IF(OR($A81="",ISNUMBER(MATCH(LOWER($H81),{"open",""},0))),"",IF(LEFT($B81,5)="LEAPS",-1,1)*($D81-IF(ISNUMBER(MATCH(LOWER($H81),{"closed"},0)),$J81,0))*100*$E81-$K81-$L81)</f>
      </c>
      <c r="O81" s="11">
        <f>IF(OR($A81="",$F81=""),"",MAX(1,IF(ISNUMBER(MATCH(LOWER($H81),{"open",""},0)),MIN(TODAY(),$G81),IF($I81="",$G81,$I81))-$F81))</f>
      </c>
      <c r="P81" s="12">
        <f>IF(OR($N81="",$M81="",$M81=0),"",$N81/$M81)</f>
      </c>
      <c r="Q81" s="12">
        <f>IF(OR($P81="",$O81=""),"",$P81*365/$O81)</f>
      </c>
      <c r="R81">
        <f>IF($N81="",0,$M81*$O81)</f>
      </c>
      <c r="S81">
        <f>IF(OR($A81="",LEFT($B81,5)="LEAPS"),0,$D81*100*$E81)</f>
      </c>
    </row>
    <row r="82" spans="1:19" x14ac:dyDescent="0.25">
      <c r="A82" s="13"/>
      <c r="B82" s="14"/>
      <c r="C82" s="15"/>
      <c r="D82" s="15"/>
      <c r="E82" s="16"/>
      <c r="F82" s="17"/>
      <c r="G82" s="17"/>
      <c r="H82" s="14"/>
      <c r="I82" s="17"/>
      <c r="J82" s="15"/>
      <c r="K82" s="15"/>
      <c r="L82" s="15"/>
      <c r="M82" s="9">
        <f>IF($A82="","",IF(LEFT($B82,5)="LEAPS",$D82,$C82)*100*$E82)</f>
      </c>
      <c r="N82" s="10">
        <f>IF(OR($A82="",ISNUMBER(MATCH(LOWER($H82),{"open",""},0))),"",IF(LEFT($B82,5)="LEAPS",-1,1)*($D82-IF(ISNUMBER(MATCH(LOWER($H82),{"closed"},0)),$J82,0))*100*$E82-$K82-$L82)</f>
      </c>
      <c r="O82" s="11">
        <f>IF(OR($A82="",$F82=""),"",MAX(1,IF(ISNUMBER(MATCH(LOWER($H82),{"open",""},0)),MIN(TODAY(),$G82),IF($I82="",$G82,$I82))-$F82))</f>
      </c>
      <c r="P82" s="12">
        <f>IF(OR($N82="",$M82="",$M82=0),"",$N82/$M82)</f>
      </c>
      <c r="Q82" s="12">
        <f>IF(OR($P82="",$O82=""),"",$P82*365/$O82)</f>
      </c>
      <c r="R82">
        <f>IF($N82="",0,$M82*$O82)</f>
      </c>
      <c r="S82">
        <f>IF(OR($A82="",LEFT($B82,5)="LEAPS"),0,$D82*100*$E82)</f>
      </c>
    </row>
    <row r="83" spans="1:19" x14ac:dyDescent="0.25">
      <c r="A83" s="13"/>
      <c r="B83" s="14"/>
      <c r="C83" s="15"/>
      <c r="D83" s="15"/>
      <c r="E83" s="16"/>
      <c r="F83" s="17"/>
      <c r="G83" s="17"/>
      <c r="H83" s="14"/>
      <c r="I83" s="17"/>
      <c r="J83" s="15"/>
      <c r="K83" s="15"/>
      <c r="L83" s="15"/>
      <c r="M83" s="9">
        <f>IF($A83="","",IF(LEFT($B83,5)="LEAPS",$D83,$C83)*100*$E83)</f>
      </c>
      <c r="N83" s="10">
        <f>IF(OR($A83="",ISNUMBER(MATCH(LOWER($H83),{"open",""},0))),"",IF(LEFT($B83,5)="LEAPS",-1,1)*($D83-IF(ISNUMBER(MATCH(LOWER($H83),{"closed"},0)),$J83,0))*100*$E83-$K83-$L83)</f>
      </c>
      <c r="O83" s="11">
        <f>IF(OR($A83="",$F83=""),"",MAX(1,IF(ISNUMBER(MATCH(LOWER($H83),{"open",""},0)),MIN(TODAY(),$G83),IF($I83="",$G83,$I83))-$F83))</f>
      </c>
      <c r="P83" s="12">
        <f>IF(OR($N83="",$M83="",$M83=0),"",$N83/$M83)</f>
      </c>
      <c r="Q83" s="12">
        <f>IF(OR($P83="",$O83=""),"",$P83*365/$O83)</f>
      </c>
      <c r="R83">
        <f>IF($N83="",0,$M83*$O83)</f>
      </c>
      <c r="S83">
        <f>IF(OR($A83="",LEFT($B83,5)="LEAPS"),0,$D83*100*$E83)</f>
      </c>
    </row>
    <row r="84" spans="1:19" x14ac:dyDescent="0.25">
      <c r="A84" s="13"/>
      <c r="B84" s="14"/>
      <c r="C84" s="15"/>
      <c r="D84" s="15"/>
      <c r="E84" s="16"/>
      <c r="F84" s="17"/>
      <c r="G84" s="17"/>
      <c r="H84" s="14"/>
      <c r="I84" s="17"/>
      <c r="J84" s="15"/>
      <c r="K84" s="15"/>
      <c r="L84" s="15"/>
      <c r="M84" s="9">
        <f>IF($A84="","",IF(LEFT($B84,5)="LEAPS",$D84,$C84)*100*$E84)</f>
      </c>
      <c r="N84" s="10">
        <f>IF(OR($A84="",ISNUMBER(MATCH(LOWER($H84),{"open",""},0))),"",IF(LEFT($B84,5)="LEAPS",-1,1)*($D84-IF(ISNUMBER(MATCH(LOWER($H84),{"closed"},0)),$J84,0))*100*$E84-$K84-$L84)</f>
      </c>
      <c r="O84" s="11">
        <f>IF(OR($A84="",$F84=""),"",MAX(1,IF(ISNUMBER(MATCH(LOWER($H84),{"open",""},0)),MIN(TODAY(),$G84),IF($I84="",$G84,$I84))-$F84))</f>
      </c>
      <c r="P84" s="12">
        <f>IF(OR($N84="",$M84="",$M84=0),"",$N84/$M84)</f>
      </c>
      <c r="Q84" s="12">
        <f>IF(OR($P84="",$O84=""),"",$P84*365/$O84)</f>
      </c>
      <c r="R84">
        <f>IF($N84="",0,$M84*$O84)</f>
      </c>
      <c r="S84">
        <f>IF(OR($A84="",LEFT($B84,5)="LEAPS"),0,$D84*100*$E84)</f>
      </c>
    </row>
    <row r="85" spans="1:19" x14ac:dyDescent="0.25">
      <c r="A85" s="13"/>
      <c r="B85" s="14"/>
      <c r="C85" s="15"/>
      <c r="D85" s="15"/>
      <c r="E85" s="16"/>
      <c r="F85" s="17"/>
      <c r="G85" s="17"/>
      <c r="H85" s="14"/>
      <c r="I85" s="17"/>
      <c r="J85" s="15"/>
      <c r="K85" s="15"/>
      <c r="L85" s="15"/>
      <c r="M85" s="9">
        <f>IF($A85="","",IF(LEFT($B85,5)="LEAPS",$D85,$C85)*100*$E85)</f>
      </c>
      <c r="N85" s="10">
        <f>IF(OR($A85="",ISNUMBER(MATCH(LOWER($H85),{"open",""},0))),"",IF(LEFT($B85,5)="LEAPS",-1,1)*($D85-IF(ISNUMBER(MATCH(LOWER($H85),{"closed"},0)),$J85,0))*100*$E85-$K85-$L85)</f>
      </c>
      <c r="O85" s="11">
        <f>IF(OR($A85="",$F85=""),"",MAX(1,IF(ISNUMBER(MATCH(LOWER($H85),{"open",""},0)),MIN(TODAY(),$G85),IF($I85="",$G85,$I85))-$F85))</f>
      </c>
      <c r="P85" s="12">
        <f>IF(OR($N85="",$M85="",$M85=0),"",$N85/$M85)</f>
      </c>
      <c r="Q85" s="12">
        <f>IF(OR($P85="",$O85=""),"",$P85*365/$O85)</f>
      </c>
      <c r="R85">
        <f>IF($N85="",0,$M85*$O85)</f>
      </c>
      <c r="S85">
        <f>IF(OR($A85="",LEFT($B85,5)="LEAPS"),0,$D85*100*$E85)</f>
      </c>
    </row>
    <row r="86" spans="1:19" x14ac:dyDescent="0.25">
      <c r="A86" s="13"/>
      <c r="B86" s="14"/>
      <c r="C86" s="15"/>
      <c r="D86" s="15"/>
      <c r="E86" s="16"/>
      <c r="F86" s="17"/>
      <c r="G86" s="17"/>
      <c r="H86" s="14"/>
      <c r="I86" s="17"/>
      <c r="J86" s="15"/>
      <c r="K86" s="15"/>
      <c r="L86" s="15"/>
      <c r="M86" s="9">
        <f>IF($A86="","",IF(LEFT($B86,5)="LEAPS",$D86,$C86)*100*$E86)</f>
      </c>
      <c r="N86" s="10">
        <f>IF(OR($A86="",ISNUMBER(MATCH(LOWER($H86),{"open",""},0))),"",IF(LEFT($B86,5)="LEAPS",-1,1)*($D86-IF(ISNUMBER(MATCH(LOWER($H86),{"closed"},0)),$J86,0))*100*$E86-$K86-$L86)</f>
      </c>
      <c r="O86" s="11">
        <f>IF(OR($A86="",$F86=""),"",MAX(1,IF(ISNUMBER(MATCH(LOWER($H86),{"open",""},0)),MIN(TODAY(),$G86),IF($I86="",$G86,$I86))-$F86))</f>
      </c>
      <c r="P86" s="12">
        <f>IF(OR($N86="",$M86="",$M86=0),"",$N86/$M86)</f>
      </c>
      <c r="Q86" s="12">
        <f>IF(OR($P86="",$O86=""),"",$P86*365/$O86)</f>
      </c>
      <c r="R86">
        <f>IF($N86="",0,$M86*$O86)</f>
      </c>
      <c r="S86">
        <f>IF(OR($A86="",LEFT($B86,5)="LEAPS"),0,$D86*100*$E86)</f>
      </c>
    </row>
    <row r="87" spans="1:19" x14ac:dyDescent="0.25">
      <c r="A87" s="13"/>
      <c r="B87" s="14"/>
      <c r="C87" s="15"/>
      <c r="D87" s="15"/>
      <c r="E87" s="16"/>
      <c r="F87" s="17"/>
      <c r="G87" s="17"/>
      <c r="H87" s="14"/>
      <c r="I87" s="17"/>
      <c r="J87" s="15"/>
      <c r="K87" s="15"/>
      <c r="L87" s="15"/>
      <c r="M87" s="9">
        <f>IF($A87="","",IF(LEFT($B87,5)="LEAPS",$D87,$C87)*100*$E87)</f>
      </c>
      <c r="N87" s="10">
        <f>IF(OR($A87="",ISNUMBER(MATCH(LOWER($H87),{"open",""},0))),"",IF(LEFT($B87,5)="LEAPS",-1,1)*($D87-IF(ISNUMBER(MATCH(LOWER($H87),{"closed"},0)),$J87,0))*100*$E87-$K87-$L87)</f>
      </c>
      <c r="O87" s="11">
        <f>IF(OR($A87="",$F87=""),"",MAX(1,IF(ISNUMBER(MATCH(LOWER($H87),{"open",""},0)),MIN(TODAY(),$G87),IF($I87="",$G87,$I87))-$F87))</f>
      </c>
      <c r="P87" s="12">
        <f>IF(OR($N87="",$M87="",$M87=0),"",$N87/$M87)</f>
      </c>
      <c r="Q87" s="12">
        <f>IF(OR($P87="",$O87=""),"",$P87*365/$O87)</f>
      </c>
      <c r="R87">
        <f>IF($N87="",0,$M87*$O87)</f>
      </c>
      <c r="S87">
        <f>IF(OR($A87="",LEFT($B87,5)="LEAPS"),0,$D87*100*$E87)</f>
      </c>
    </row>
    <row r="88" spans="1:19" x14ac:dyDescent="0.25">
      <c r="A88" s="13"/>
      <c r="B88" s="14"/>
      <c r="C88" s="15"/>
      <c r="D88" s="15"/>
      <c r="E88" s="16"/>
      <c r="F88" s="17"/>
      <c r="G88" s="17"/>
      <c r="H88" s="14"/>
      <c r="I88" s="17"/>
      <c r="J88" s="15"/>
      <c r="K88" s="15"/>
      <c r="L88" s="15"/>
      <c r="M88" s="9">
        <f>IF($A88="","",IF(LEFT($B88,5)="LEAPS",$D88,$C88)*100*$E88)</f>
      </c>
      <c r="N88" s="10">
        <f>IF(OR($A88="",ISNUMBER(MATCH(LOWER($H88),{"open",""},0))),"",IF(LEFT($B88,5)="LEAPS",-1,1)*($D88-IF(ISNUMBER(MATCH(LOWER($H88),{"closed"},0)),$J88,0))*100*$E88-$K88-$L88)</f>
      </c>
      <c r="O88" s="11">
        <f>IF(OR($A88="",$F88=""),"",MAX(1,IF(ISNUMBER(MATCH(LOWER($H88),{"open",""},0)),MIN(TODAY(),$G88),IF($I88="",$G88,$I88))-$F88))</f>
      </c>
      <c r="P88" s="12">
        <f>IF(OR($N88="",$M88="",$M88=0),"",$N88/$M88)</f>
      </c>
      <c r="Q88" s="12">
        <f>IF(OR($P88="",$O88=""),"",$P88*365/$O88)</f>
      </c>
      <c r="R88">
        <f>IF($N88="",0,$M88*$O88)</f>
      </c>
      <c r="S88">
        <f>IF(OR($A88="",LEFT($B88,5)="LEAPS"),0,$D88*100*$E88)</f>
      </c>
    </row>
    <row r="89" spans="1:19" x14ac:dyDescent="0.25">
      <c r="A89" s="13"/>
      <c r="B89" s="14"/>
      <c r="C89" s="15"/>
      <c r="D89" s="15"/>
      <c r="E89" s="16"/>
      <c r="F89" s="17"/>
      <c r="G89" s="17"/>
      <c r="H89" s="14"/>
      <c r="I89" s="17"/>
      <c r="J89" s="15"/>
      <c r="K89" s="15"/>
      <c r="L89" s="15"/>
      <c r="M89" s="9">
        <f>IF($A89="","",IF(LEFT($B89,5)="LEAPS",$D89,$C89)*100*$E89)</f>
      </c>
      <c r="N89" s="10">
        <f>IF(OR($A89="",ISNUMBER(MATCH(LOWER($H89),{"open",""},0))),"",IF(LEFT($B89,5)="LEAPS",-1,1)*($D89-IF(ISNUMBER(MATCH(LOWER($H89),{"closed"},0)),$J89,0))*100*$E89-$K89-$L89)</f>
      </c>
      <c r="O89" s="11">
        <f>IF(OR($A89="",$F89=""),"",MAX(1,IF(ISNUMBER(MATCH(LOWER($H89),{"open",""},0)),MIN(TODAY(),$G89),IF($I89="",$G89,$I89))-$F89))</f>
      </c>
      <c r="P89" s="12">
        <f>IF(OR($N89="",$M89="",$M89=0),"",$N89/$M89)</f>
      </c>
      <c r="Q89" s="12">
        <f>IF(OR($P89="",$O89=""),"",$P89*365/$O89)</f>
      </c>
      <c r="R89">
        <f>IF($N89="",0,$M89*$O89)</f>
      </c>
      <c r="S89">
        <f>IF(OR($A89="",LEFT($B89,5)="LEAPS"),0,$D89*100*$E89)</f>
      </c>
    </row>
    <row r="90" spans="1:19" x14ac:dyDescent="0.25">
      <c r="A90" s="13"/>
      <c r="B90" s="14"/>
      <c r="C90" s="15"/>
      <c r="D90" s="15"/>
      <c r="E90" s="16"/>
      <c r="F90" s="17"/>
      <c r="G90" s="17"/>
      <c r="H90" s="14"/>
      <c r="I90" s="17"/>
      <c r="J90" s="15"/>
      <c r="K90" s="15"/>
      <c r="L90" s="15"/>
      <c r="M90" s="9">
        <f>IF($A90="","",IF(LEFT($B90,5)="LEAPS",$D90,$C90)*100*$E90)</f>
      </c>
      <c r="N90" s="10">
        <f>IF(OR($A90="",ISNUMBER(MATCH(LOWER($H90),{"open",""},0))),"",IF(LEFT($B90,5)="LEAPS",-1,1)*($D90-IF(ISNUMBER(MATCH(LOWER($H90),{"closed"},0)),$J90,0))*100*$E90-$K90-$L90)</f>
      </c>
      <c r="O90" s="11">
        <f>IF(OR($A90="",$F90=""),"",MAX(1,IF(ISNUMBER(MATCH(LOWER($H90),{"open",""},0)),MIN(TODAY(),$G90),IF($I90="",$G90,$I90))-$F90))</f>
      </c>
      <c r="P90" s="12">
        <f>IF(OR($N90="",$M90="",$M90=0),"",$N90/$M90)</f>
      </c>
      <c r="Q90" s="12">
        <f>IF(OR($P90="",$O90=""),"",$P90*365/$O90)</f>
      </c>
      <c r="R90">
        <f>IF($N90="",0,$M90*$O90)</f>
      </c>
      <c r="S90">
        <f>IF(OR($A90="",LEFT($B90,5)="LEAPS"),0,$D90*100*$E90)</f>
      </c>
    </row>
    <row r="91" spans="1:19" x14ac:dyDescent="0.25">
      <c r="A91" s="13"/>
      <c r="B91" s="14"/>
      <c r="C91" s="15"/>
      <c r="D91" s="15"/>
      <c r="E91" s="16"/>
      <c r="F91" s="17"/>
      <c r="G91" s="17"/>
      <c r="H91" s="14"/>
      <c r="I91" s="17"/>
      <c r="J91" s="15"/>
      <c r="K91" s="15"/>
      <c r="L91" s="15"/>
      <c r="M91" s="9">
        <f>IF($A91="","",IF(LEFT($B91,5)="LEAPS",$D91,$C91)*100*$E91)</f>
      </c>
      <c r="N91" s="10">
        <f>IF(OR($A91="",ISNUMBER(MATCH(LOWER($H91),{"open",""},0))),"",IF(LEFT($B91,5)="LEAPS",-1,1)*($D91-IF(ISNUMBER(MATCH(LOWER($H91),{"closed"},0)),$J91,0))*100*$E91-$K91-$L91)</f>
      </c>
      <c r="O91" s="11">
        <f>IF(OR($A91="",$F91=""),"",MAX(1,IF(ISNUMBER(MATCH(LOWER($H91),{"open",""},0)),MIN(TODAY(),$G91),IF($I91="",$G91,$I91))-$F91))</f>
      </c>
      <c r="P91" s="12">
        <f>IF(OR($N91="",$M91="",$M91=0),"",$N91/$M91)</f>
      </c>
      <c r="Q91" s="12">
        <f>IF(OR($P91="",$O91=""),"",$P91*365/$O91)</f>
      </c>
      <c r="R91">
        <f>IF($N91="",0,$M91*$O91)</f>
      </c>
      <c r="S91">
        <f>IF(OR($A91="",LEFT($B91,5)="LEAPS"),0,$D91*100*$E91)</f>
      </c>
    </row>
    <row r="92" spans="1:19" x14ac:dyDescent="0.25">
      <c r="A92" s="13"/>
      <c r="B92" s="14"/>
      <c r="C92" s="15"/>
      <c r="D92" s="15"/>
      <c r="E92" s="16"/>
      <c r="F92" s="17"/>
      <c r="G92" s="17"/>
      <c r="H92" s="14"/>
      <c r="I92" s="17"/>
      <c r="J92" s="15"/>
      <c r="K92" s="15"/>
      <c r="L92" s="15"/>
      <c r="M92" s="9">
        <f>IF($A92="","",IF(LEFT($B92,5)="LEAPS",$D92,$C92)*100*$E92)</f>
      </c>
      <c r="N92" s="10">
        <f>IF(OR($A92="",ISNUMBER(MATCH(LOWER($H92),{"open",""},0))),"",IF(LEFT($B92,5)="LEAPS",-1,1)*($D92-IF(ISNUMBER(MATCH(LOWER($H92),{"closed"},0)),$J92,0))*100*$E92-$K92-$L92)</f>
      </c>
      <c r="O92" s="11">
        <f>IF(OR($A92="",$F92=""),"",MAX(1,IF(ISNUMBER(MATCH(LOWER($H92),{"open",""},0)),MIN(TODAY(),$G92),IF($I92="",$G92,$I92))-$F92))</f>
      </c>
      <c r="P92" s="12">
        <f>IF(OR($N92="",$M92="",$M92=0),"",$N92/$M92)</f>
      </c>
      <c r="Q92" s="12">
        <f>IF(OR($P92="",$O92=""),"",$P92*365/$O92)</f>
      </c>
      <c r="R92">
        <f>IF($N92="",0,$M92*$O92)</f>
      </c>
      <c r="S92">
        <f>IF(OR($A92="",LEFT($B92,5)="LEAPS"),0,$D92*100*$E92)</f>
      </c>
    </row>
    <row r="93" spans="1:19" x14ac:dyDescent="0.25">
      <c r="A93" s="13"/>
      <c r="B93" s="14"/>
      <c r="C93" s="15"/>
      <c r="D93" s="15"/>
      <c r="E93" s="16"/>
      <c r="F93" s="17"/>
      <c r="G93" s="17"/>
      <c r="H93" s="14"/>
      <c r="I93" s="17"/>
      <c r="J93" s="15"/>
      <c r="K93" s="15"/>
      <c r="L93" s="15"/>
      <c r="M93" s="9">
        <f>IF($A93="","",IF(LEFT($B93,5)="LEAPS",$D93,$C93)*100*$E93)</f>
      </c>
      <c r="N93" s="10">
        <f>IF(OR($A93="",ISNUMBER(MATCH(LOWER($H93),{"open",""},0))),"",IF(LEFT($B93,5)="LEAPS",-1,1)*($D93-IF(ISNUMBER(MATCH(LOWER($H93),{"closed"},0)),$J93,0))*100*$E93-$K93-$L93)</f>
      </c>
      <c r="O93" s="11">
        <f>IF(OR($A93="",$F93=""),"",MAX(1,IF(ISNUMBER(MATCH(LOWER($H93),{"open",""},0)),MIN(TODAY(),$G93),IF($I93="",$G93,$I93))-$F93))</f>
      </c>
      <c r="P93" s="12">
        <f>IF(OR($N93="",$M93="",$M93=0),"",$N93/$M93)</f>
      </c>
      <c r="Q93" s="12">
        <f>IF(OR($P93="",$O93=""),"",$P93*365/$O93)</f>
      </c>
      <c r="R93">
        <f>IF($N93="",0,$M93*$O93)</f>
      </c>
      <c r="S93">
        <f>IF(OR($A93="",LEFT($B93,5)="LEAPS"),0,$D93*100*$E93)</f>
      </c>
    </row>
    <row r="94" spans="1:19" x14ac:dyDescent="0.25">
      <c r="A94" s="13"/>
      <c r="B94" s="14"/>
      <c r="C94" s="15"/>
      <c r="D94" s="15"/>
      <c r="E94" s="16"/>
      <c r="F94" s="17"/>
      <c r="G94" s="17"/>
      <c r="H94" s="14"/>
      <c r="I94" s="17"/>
      <c r="J94" s="15"/>
      <c r="K94" s="15"/>
      <c r="L94" s="15"/>
      <c r="M94" s="9">
        <f>IF($A94="","",IF(LEFT($B94,5)="LEAPS",$D94,$C94)*100*$E94)</f>
      </c>
      <c r="N94" s="10">
        <f>IF(OR($A94="",ISNUMBER(MATCH(LOWER($H94),{"open",""},0))),"",IF(LEFT($B94,5)="LEAPS",-1,1)*($D94-IF(ISNUMBER(MATCH(LOWER($H94),{"closed"},0)),$J94,0))*100*$E94-$K94-$L94)</f>
      </c>
      <c r="O94" s="11">
        <f>IF(OR($A94="",$F94=""),"",MAX(1,IF(ISNUMBER(MATCH(LOWER($H94),{"open",""},0)),MIN(TODAY(),$G94),IF($I94="",$G94,$I94))-$F94))</f>
      </c>
      <c r="P94" s="12">
        <f>IF(OR($N94="",$M94="",$M94=0),"",$N94/$M94)</f>
      </c>
      <c r="Q94" s="12">
        <f>IF(OR($P94="",$O94=""),"",$P94*365/$O94)</f>
      </c>
      <c r="R94">
        <f>IF($N94="",0,$M94*$O94)</f>
      </c>
      <c r="S94">
        <f>IF(OR($A94="",LEFT($B94,5)="LEAPS"),0,$D94*100*$E94)</f>
      </c>
    </row>
    <row r="95" spans="1:19" x14ac:dyDescent="0.25">
      <c r="A95" s="13"/>
      <c r="B95" s="14"/>
      <c r="C95" s="15"/>
      <c r="D95" s="15"/>
      <c r="E95" s="16"/>
      <c r="F95" s="17"/>
      <c r="G95" s="17"/>
      <c r="H95" s="14"/>
      <c r="I95" s="17"/>
      <c r="J95" s="15"/>
      <c r="K95" s="15"/>
      <c r="L95" s="15"/>
      <c r="M95" s="9">
        <f>IF($A95="","",IF(LEFT($B95,5)="LEAPS",$D95,$C95)*100*$E95)</f>
      </c>
      <c r="N95" s="10">
        <f>IF(OR($A95="",ISNUMBER(MATCH(LOWER($H95),{"open",""},0))),"",IF(LEFT($B95,5)="LEAPS",-1,1)*($D95-IF(ISNUMBER(MATCH(LOWER($H95),{"closed"},0)),$J95,0))*100*$E95-$K95-$L95)</f>
      </c>
      <c r="O95" s="11">
        <f>IF(OR($A95="",$F95=""),"",MAX(1,IF(ISNUMBER(MATCH(LOWER($H95),{"open",""},0)),MIN(TODAY(),$G95),IF($I95="",$G95,$I95))-$F95))</f>
      </c>
      <c r="P95" s="12">
        <f>IF(OR($N95="",$M95="",$M95=0),"",$N95/$M95)</f>
      </c>
      <c r="Q95" s="12">
        <f>IF(OR($P95="",$O95=""),"",$P95*365/$O95)</f>
      </c>
      <c r="R95">
        <f>IF($N95="",0,$M95*$O95)</f>
      </c>
      <c r="S95">
        <f>IF(OR($A95="",LEFT($B95,5)="LEAPS"),0,$D95*100*$E95)</f>
      </c>
    </row>
    <row r="96" spans="1:19" x14ac:dyDescent="0.25">
      <c r="A96" s="13"/>
      <c r="B96" s="14"/>
      <c r="C96" s="15"/>
      <c r="D96" s="15"/>
      <c r="E96" s="16"/>
      <c r="F96" s="17"/>
      <c r="G96" s="17"/>
      <c r="H96" s="14"/>
      <c r="I96" s="17"/>
      <c r="J96" s="15"/>
      <c r="K96" s="15"/>
      <c r="L96" s="15"/>
      <c r="M96" s="9">
        <f>IF($A96="","",IF(LEFT($B96,5)="LEAPS",$D96,$C96)*100*$E96)</f>
      </c>
      <c r="N96" s="10">
        <f>IF(OR($A96="",ISNUMBER(MATCH(LOWER($H96),{"open",""},0))),"",IF(LEFT($B96,5)="LEAPS",-1,1)*($D96-IF(ISNUMBER(MATCH(LOWER($H96),{"closed"},0)),$J96,0))*100*$E96-$K96-$L96)</f>
      </c>
      <c r="O96" s="11">
        <f>IF(OR($A96="",$F96=""),"",MAX(1,IF(ISNUMBER(MATCH(LOWER($H96),{"open",""},0)),MIN(TODAY(),$G96),IF($I96="",$G96,$I96))-$F96))</f>
      </c>
      <c r="P96" s="12">
        <f>IF(OR($N96="",$M96="",$M96=0),"",$N96/$M96)</f>
      </c>
      <c r="Q96" s="12">
        <f>IF(OR($P96="",$O96=""),"",$P96*365/$O96)</f>
      </c>
      <c r="R96">
        <f>IF($N96="",0,$M96*$O96)</f>
      </c>
      <c r="S96">
        <f>IF(OR($A96="",LEFT($B96,5)="LEAPS"),0,$D96*100*$E96)</f>
      </c>
    </row>
    <row r="97" spans="1:19" x14ac:dyDescent="0.25">
      <c r="A97" s="13"/>
      <c r="B97" s="14"/>
      <c r="C97" s="15"/>
      <c r="D97" s="15"/>
      <c r="E97" s="16"/>
      <c r="F97" s="17"/>
      <c r="G97" s="17"/>
      <c r="H97" s="14"/>
      <c r="I97" s="17"/>
      <c r="J97" s="15"/>
      <c r="K97" s="15"/>
      <c r="L97" s="15"/>
      <c r="M97" s="9">
        <f>IF($A97="","",IF(LEFT($B97,5)="LEAPS",$D97,$C97)*100*$E97)</f>
      </c>
      <c r="N97" s="10">
        <f>IF(OR($A97="",ISNUMBER(MATCH(LOWER($H97),{"open",""},0))),"",IF(LEFT($B97,5)="LEAPS",-1,1)*($D97-IF(ISNUMBER(MATCH(LOWER($H97),{"closed"},0)),$J97,0))*100*$E97-$K97-$L97)</f>
      </c>
      <c r="O97" s="11">
        <f>IF(OR($A97="",$F97=""),"",MAX(1,IF(ISNUMBER(MATCH(LOWER($H97),{"open",""},0)),MIN(TODAY(),$G97),IF($I97="",$G97,$I97))-$F97))</f>
      </c>
      <c r="P97" s="12">
        <f>IF(OR($N97="",$M97="",$M97=0),"",$N97/$M97)</f>
      </c>
      <c r="Q97" s="12">
        <f>IF(OR($P97="",$O97=""),"",$P97*365/$O97)</f>
      </c>
      <c r="R97">
        <f>IF($N97="",0,$M97*$O97)</f>
      </c>
      <c r="S97">
        <f>IF(OR($A97="",LEFT($B97,5)="LEAPS"),0,$D97*100*$E97)</f>
      </c>
    </row>
    <row r="98" spans="1:19" x14ac:dyDescent="0.25">
      <c r="A98" s="13"/>
      <c r="B98" s="14"/>
      <c r="C98" s="15"/>
      <c r="D98" s="15"/>
      <c r="E98" s="16"/>
      <c r="F98" s="17"/>
      <c r="G98" s="17"/>
      <c r="H98" s="14"/>
      <c r="I98" s="17"/>
      <c r="J98" s="15"/>
      <c r="K98" s="15"/>
      <c r="L98" s="15"/>
      <c r="M98" s="9">
        <f>IF($A98="","",IF(LEFT($B98,5)="LEAPS",$D98,$C98)*100*$E98)</f>
      </c>
      <c r="N98" s="10">
        <f>IF(OR($A98="",ISNUMBER(MATCH(LOWER($H98),{"open",""},0))),"",IF(LEFT($B98,5)="LEAPS",-1,1)*($D98-IF(ISNUMBER(MATCH(LOWER($H98),{"closed"},0)),$J98,0))*100*$E98-$K98-$L98)</f>
      </c>
      <c r="O98" s="11">
        <f>IF(OR($A98="",$F98=""),"",MAX(1,IF(ISNUMBER(MATCH(LOWER($H98),{"open",""},0)),MIN(TODAY(),$G98),IF($I98="",$G98,$I98))-$F98))</f>
      </c>
      <c r="P98" s="12">
        <f>IF(OR($N98="",$M98="",$M98=0),"",$N98/$M98)</f>
      </c>
      <c r="Q98" s="12">
        <f>IF(OR($P98="",$O98=""),"",$P98*365/$O98)</f>
      </c>
      <c r="R98">
        <f>IF($N98="",0,$M98*$O98)</f>
      </c>
      <c r="S98">
        <f>IF(OR($A98="",LEFT($B98,5)="LEAPS"),0,$D98*100*$E98)</f>
      </c>
    </row>
    <row r="99" spans="1:19" x14ac:dyDescent="0.25">
      <c r="A99" s="13"/>
      <c r="B99" s="14"/>
      <c r="C99" s="15"/>
      <c r="D99" s="15"/>
      <c r="E99" s="16"/>
      <c r="F99" s="17"/>
      <c r="G99" s="17"/>
      <c r="H99" s="14"/>
      <c r="I99" s="17"/>
      <c r="J99" s="15"/>
      <c r="K99" s="15"/>
      <c r="L99" s="15"/>
      <c r="M99" s="9">
        <f>IF($A99="","",IF(LEFT($B99,5)="LEAPS",$D99,$C99)*100*$E99)</f>
      </c>
      <c r="N99" s="10">
        <f>IF(OR($A99="",ISNUMBER(MATCH(LOWER($H99),{"open",""},0))),"",IF(LEFT($B99,5)="LEAPS",-1,1)*($D99-IF(ISNUMBER(MATCH(LOWER($H99),{"closed"},0)),$J99,0))*100*$E99-$K99-$L99)</f>
      </c>
      <c r="O99" s="11">
        <f>IF(OR($A99="",$F99=""),"",MAX(1,IF(ISNUMBER(MATCH(LOWER($H99),{"open",""},0)),MIN(TODAY(),$G99),IF($I99="",$G99,$I99))-$F99))</f>
      </c>
      <c r="P99" s="12">
        <f>IF(OR($N99="",$M99="",$M99=0),"",$N99/$M99)</f>
      </c>
      <c r="Q99" s="12">
        <f>IF(OR($P99="",$O99=""),"",$P99*365/$O99)</f>
      </c>
      <c r="R99">
        <f>IF($N99="",0,$M99*$O99)</f>
      </c>
      <c r="S99">
        <f>IF(OR($A99="",LEFT($B99,5)="LEAPS"),0,$D99*100*$E99)</f>
      </c>
    </row>
    <row r="100" spans="1:19" x14ac:dyDescent="0.25">
      <c r="A100" s="13"/>
      <c r="B100" s="14"/>
      <c r="C100" s="15"/>
      <c r="D100" s="15"/>
      <c r="E100" s="16"/>
      <c r="F100" s="17"/>
      <c r="G100" s="17"/>
      <c r="H100" s="14"/>
      <c r="I100" s="17"/>
      <c r="J100" s="15"/>
      <c r="K100" s="15"/>
      <c r="L100" s="15"/>
      <c r="M100" s="9">
        <f>IF($A100="","",IF(LEFT($B100,5)="LEAPS",$D100,$C100)*100*$E100)</f>
      </c>
      <c r="N100" s="10">
        <f>IF(OR($A100="",ISNUMBER(MATCH(LOWER($H100),{"open",""},0))),"",IF(LEFT($B100,5)="LEAPS",-1,1)*($D100-IF(ISNUMBER(MATCH(LOWER($H100),{"closed"},0)),$J100,0))*100*$E100-$K100-$L100)</f>
      </c>
      <c r="O100" s="11">
        <f>IF(OR($A100="",$F100=""),"",MAX(1,IF(ISNUMBER(MATCH(LOWER($H100),{"open",""},0)),MIN(TODAY(),$G100),IF($I100="",$G100,$I100))-$F100))</f>
      </c>
      <c r="P100" s="12">
        <f>IF(OR($N100="",$M100="",$M100=0),"",$N100/$M100)</f>
      </c>
      <c r="Q100" s="12">
        <f>IF(OR($P100="",$O100=""),"",$P100*365/$O100)</f>
      </c>
      <c r="R100">
        <f>IF($N100="",0,$M100*$O100)</f>
      </c>
      <c r="S100">
        <f>IF(OR($A100="",LEFT($B100,5)="LEAPS"),0,$D100*100*$E100)</f>
      </c>
    </row>
    <row r="101" spans="1:19" x14ac:dyDescent="0.25">
      <c r="A101" s="13"/>
      <c r="B101" s="14"/>
      <c r="C101" s="15"/>
      <c r="D101" s="15"/>
      <c r="E101" s="16"/>
      <c r="F101" s="17"/>
      <c r="G101" s="17"/>
      <c r="H101" s="14"/>
      <c r="I101" s="17"/>
      <c r="J101" s="15"/>
      <c r="K101" s="15"/>
      <c r="L101" s="15"/>
      <c r="M101" s="9">
        <f>IF($A101="","",IF(LEFT($B101,5)="LEAPS",$D101,$C101)*100*$E101)</f>
      </c>
      <c r="N101" s="10">
        <f>IF(OR($A101="",ISNUMBER(MATCH(LOWER($H101),{"open",""},0))),"",IF(LEFT($B101,5)="LEAPS",-1,1)*($D101-IF(ISNUMBER(MATCH(LOWER($H101),{"closed"},0)),$J101,0))*100*$E101-$K101-$L101)</f>
      </c>
      <c r="O101" s="11">
        <f>IF(OR($A101="",$F101=""),"",MAX(1,IF(ISNUMBER(MATCH(LOWER($H101),{"open",""},0)),MIN(TODAY(),$G101),IF($I101="",$G101,$I101))-$F101))</f>
      </c>
      <c r="P101" s="12">
        <f>IF(OR($N101="",$M101="",$M101=0),"",$N101/$M101)</f>
      </c>
      <c r="Q101" s="12">
        <f>IF(OR($P101="",$O101=""),"",$P101*365/$O101)</f>
      </c>
      <c r="R101">
        <f>IF($N101="",0,$M101*$O101)</f>
      </c>
      <c r="S101">
        <f>IF(OR($A101="",LEFT($B101,5)="LEAPS"),0,$D101*100*$E101)</f>
      </c>
    </row>
    <row r="102" spans="1:19" x14ac:dyDescent="0.25">
      <c r="A102" s="13"/>
      <c r="B102" s="14"/>
      <c r="C102" s="15"/>
      <c r="D102" s="15"/>
      <c r="E102" s="16"/>
      <c r="F102" s="17"/>
      <c r="G102" s="17"/>
      <c r="H102" s="14"/>
      <c r="I102" s="17"/>
      <c r="J102" s="15"/>
      <c r="K102" s="15"/>
      <c r="L102" s="15"/>
      <c r="M102" s="9">
        <f>IF($A102="","",IF(LEFT($B102,5)="LEAPS",$D102,$C102)*100*$E102)</f>
      </c>
      <c r="N102" s="10">
        <f>IF(OR($A102="",ISNUMBER(MATCH(LOWER($H102),{"open",""},0))),"",IF(LEFT($B102,5)="LEAPS",-1,1)*($D102-IF(ISNUMBER(MATCH(LOWER($H102),{"closed"},0)),$J102,0))*100*$E102-$K102-$L102)</f>
      </c>
      <c r="O102" s="11">
        <f>IF(OR($A102="",$F102=""),"",MAX(1,IF(ISNUMBER(MATCH(LOWER($H102),{"open",""},0)),MIN(TODAY(),$G102),IF($I102="",$G102,$I102))-$F102))</f>
      </c>
      <c r="P102" s="12">
        <f>IF(OR($N102="",$M102="",$M102=0),"",$N102/$M102)</f>
      </c>
      <c r="Q102" s="12">
        <f>IF(OR($P102="",$O102=""),"",$P102*365/$O102)</f>
      </c>
      <c r="R102">
        <f>IF($N102="",0,$M102*$O102)</f>
      </c>
      <c r="S102">
        <f>IF(OR($A102="",LEFT($B102,5)="LEAPS"),0,$D102*100*$E102)</f>
      </c>
    </row>
    <row r="103" spans="1:19" x14ac:dyDescent="0.25">
      <c r="A103" s="13"/>
      <c r="B103" s="14"/>
      <c r="C103" s="15"/>
      <c r="D103" s="15"/>
      <c r="E103" s="16"/>
      <c r="F103" s="17"/>
      <c r="G103" s="17"/>
      <c r="H103" s="14"/>
      <c r="I103" s="17"/>
      <c r="J103" s="15"/>
      <c r="K103" s="15"/>
      <c r="L103" s="15"/>
      <c r="M103" s="9">
        <f>IF($A103="","",IF(LEFT($B103,5)="LEAPS",$D103,$C103)*100*$E103)</f>
      </c>
      <c r="N103" s="10">
        <f>IF(OR($A103="",ISNUMBER(MATCH(LOWER($H103),{"open",""},0))),"",IF(LEFT($B103,5)="LEAPS",-1,1)*($D103-IF(ISNUMBER(MATCH(LOWER($H103),{"closed"},0)),$J103,0))*100*$E103-$K103-$L103)</f>
      </c>
      <c r="O103" s="11">
        <f>IF(OR($A103="",$F103=""),"",MAX(1,IF(ISNUMBER(MATCH(LOWER($H103),{"open",""},0)),MIN(TODAY(),$G103),IF($I103="",$G103,$I103))-$F103))</f>
      </c>
      <c r="P103" s="12">
        <f>IF(OR($N103="",$M103="",$M103=0),"",$N103/$M103)</f>
      </c>
      <c r="Q103" s="12">
        <f>IF(OR($P103="",$O103=""),"",$P103*365/$O103)</f>
      </c>
      <c r="R103">
        <f>IF($N103="",0,$M103*$O103)</f>
      </c>
      <c r="S103">
        <f>IF(OR($A103="",LEFT($B103,5)="LEAPS"),0,$D103*100*$E103)</f>
      </c>
    </row>
    <row r="104" spans="1:19" x14ac:dyDescent="0.25">
      <c r="A104" s="13"/>
      <c r="B104" s="14"/>
      <c r="C104" s="15"/>
      <c r="D104" s="15"/>
      <c r="E104" s="16"/>
      <c r="F104" s="17"/>
      <c r="G104" s="17"/>
      <c r="H104" s="14"/>
      <c r="I104" s="17"/>
      <c r="J104" s="15"/>
      <c r="K104" s="15"/>
      <c r="L104" s="15"/>
      <c r="M104" s="9">
        <f>IF($A104="","",IF(LEFT($B104,5)="LEAPS",$D104,$C104)*100*$E104)</f>
      </c>
      <c r="N104" s="10">
        <f>IF(OR($A104="",ISNUMBER(MATCH(LOWER($H104),{"open",""},0))),"",IF(LEFT($B104,5)="LEAPS",-1,1)*($D104-IF(ISNUMBER(MATCH(LOWER($H104),{"closed"},0)),$J104,0))*100*$E104-$K104-$L104)</f>
      </c>
      <c r="O104" s="11">
        <f>IF(OR($A104="",$F104=""),"",MAX(1,IF(ISNUMBER(MATCH(LOWER($H104),{"open",""},0)),MIN(TODAY(),$G104),IF($I104="",$G104,$I104))-$F104))</f>
      </c>
      <c r="P104" s="12">
        <f>IF(OR($N104="",$M104="",$M104=0),"",$N104/$M104)</f>
      </c>
      <c r="Q104" s="12">
        <f>IF(OR($P104="",$O104=""),"",$P104*365/$O104)</f>
      </c>
      <c r="R104">
        <f>IF($N104="",0,$M104*$O104)</f>
      </c>
      <c r="S104">
        <f>IF(OR($A104="",LEFT($B104,5)="LEAPS"),0,$D104*100*$E104)</f>
      </c>
    </row>
    <row r="105" spans="1:19" x14ac:dyDescent="0.25">
      <c r="A105" s="13"/>
      <c r="B105" s="14"/>
      <c r="C105" s="15"/>
      <c r="D105" s="15"/>
      <c r="E105" s="16"/>
      <c r="F105" s="17"/>
      <c r="G105" s="17"/>
      <c r="H105" s="14"/>
      <c r="I105" s="17"/>
      <c r="J105" s="15"/>
      <c r="K105" s="15"/>
      <c r="L105" s="15"/>
      <c r="M105" s="9">
        <f>IF($A105="","",IF(LEFT($B105,5)="LEAPS",$D105,$C105)*100*$E105)</f>
      </c>
      <c r="N105" s="10">
        <f>IF(OR($A105="",ISNUMBER(MATCH(LOWER($H105),{"open",""},0))),"",IF(LEFT($B105,5)="LEAPS",-1,1)*($D105-IF(ISNUMBER(MATCH(LOWER($H105),{"closed"},0)),$J105,0))*100*$E105-$K105-$L105)</f>
      </c>
      <c r="O105" s="11">
        <f>IF(OR($A105="",$F105=""),"",MAX(1,IF(ISNUMBER(MATCH(LOWER($H105),{"open",""},0)),MIN(TODAY(),$G105),IF($I105="",$G105,$I105))-$F105))</f>
      </c>
      <c r="P105" s="12">
        <f>IF(OR($N105="",$M105="",$M105=0),"",$N105/$M105)</f>
      </c>
      <c r="Q105" s="12">
        <f>IF(OR($P105="",$O105=""),"",$P105*365/$O105)</f>
      </c>
      <c r="R105">
        <f>IF($N105="",0,$M105*$O105)</f>
      </c>
      <c r="S105">
        <f>IF(OR($A105="",LEFT($B105,5)="LEAPS"),0,$D105*100*$E105)</f>
      </c>
    </row>
    <row r="106" spans="1:19" x14ac:dyDescent="0.25">
      <c r="A106" s="13"/>
      <c r="B106" s="14"/>
      <c r="C106" s="15"/>
      <c r="D106" s="15"/>
      <c r="E106" s="16"/>
      <c r="F106" s="17"/>
      <c r="G106" s="17"/>
      <c r="H106" s="14"/>
      <c r="I106" s="17"/>
      <c r="J106" s="15"/>
      <c r="K106" s="15"/>
      <c r="L106" s="15"/>
      <c r="M106" s="9">
        <f>IF($A106="","",IF(LEFT($B106,5)="LEAPS",$D106,$C106)*100*$E106)</f>
      </c>
      <c r="N106" s="10">
        <f>IF(OR($A106="",ISNUMBER(MATCH(LOWER($H106),{"open",""},0))),"",IF(LEFT($B106,5)="LEAPS",-1,1)*($D106-IF(ISNUMBER(MATCH(LOWER($H106),{"closed"},0)),$J106,0))*100*$E106-$K106-$L106)</f>
      </c>
      <c r="O106" s="11">
        <f>IF(OR($A106="",$F106=""),"",MAX(1,IF(ISNUMBER(MATCH(LOWER($H106),{"open",""},0)),MIN(TODAY(),$G106),IF($I106="",$G106,$I106))-$F106))</f>
      </c>
      <c r="P106" s="12">
        <f>IF(OR($N106="",$M106="",$M106=0),"",$N106/$M106)</f>
      </c>
      <c r="Q106" s="12">
        <f>IF(OR($P106="",$O106=""),"",$P106*365/$O106)</f>
      </c>
      <c r="R106">
        <f>IF($N106="",0,$M106*$O106)</f>
      </c>
      <c r="S106">
        <f>IF(OR($A106="",LEFT($B106,5)="LEAPS"),0,$D106*100*$E106)</f>
      </c>
    </row>
    <row r="107" spans="1:19" x14ac:dyDescent="0.25">
      <c r="A107" s="13"/>
      <c r="B107" s="14"/>
      <c r="C107" s="15"/>
      <c r="D107" s="15"/>
      <c r="E107" s="16"/>
      <c r="F107" s="17"/>
      <c r="G107" s="17"/>
      <c r="H107" s="14"/>
      <c r="I107" s="17"/>
      <c r="J107" s="15"/>
      <c r="K107" s="15"/>
      <c r="L107" s="15"/>
      <c r="M107" s="9">
        <f>IF($A107="","",IF(LEFT($B107,5)="LEAPS",$D107,$C107)*100*$E107)</f>
      </c>
      <c r="N107" s="10">
        <f>IF(OR($A107="",ISNUMBER(MATCH(LOWER($H107),{"open",""},0))),"",IF(LEFT($B107,5)="LEAPS",-1,1)*($D107-IF(ISNUMBER(MATCH(LOWER($H107),{"closed"},0)),$J107,0))*100*$E107-$K107-$L107)</f>
      </c>
      <c r="O107" s="11">
        <f>IF(OR($A107="",$F107=""),"",MAX(1,IF(ISNUMBER(MATCH(LOWER($H107),{"open",""},0)),MIN(TODAY(),$G107),IF($I107="",$G107,$I107))-$F107))</f>
      </c>
      <c r="P107" s="12">
        <f>IF(OR($N107="",$M107="",$M107=0),"",$N107/$M107)</f>
      </c>
      <c r="Q107" s="12">
        <f>IF(OR($P107="",$O107=""),"",$P107*365/$O107)</f>
      </c>
      <c r="R107">
        <f>IF($N107="",0,$M107*$O107)</f>
      </c>
      <c r="S107">
        <f>IF(OR($A107="",LEFT($B107,5)="LEAPS"),0,$D107*100*$E107)</f>
      </c>
    </row>
    <row r="108" spans="1:19" x14ac:dyDescent="0.25">
      <c r="A108" s="13"/>
      <c r="B108" s="14"/>
      <c r="C108" s="15"/>
      <c r="D108" s="15"/>
      <c r="E108" s="16"/>
      <c r="F108" s="17"/>
      <c r="G108" s="17"/>
      <c r="H108" s="14"/>
      <c r="I108" s="17"/>
      <c r="J108" s="15"/>
      <c r="K108" s="15"/>
      <c r="L108" s="15"/>
      <c r="M108" s="9">
        <f>IF($A108="","",IF(LEFT($B108,5)="LEAPS",$D108,$C108)*100*$E108)</f>
      </c>
      <c r="N108" s="10">
        <f>IF(OR($A108="",ISNUMBER(MATCH(LOWER($H108),{"open",""},0))),"",IF(LEFT($B108,5)="LEAPS",-1,1)*($D108-IF(ISNUMBER(MATCH(LOWER($H108),{"closed"},0)),$J108,0))*100*$E108-$K108-$L108)</f>
      </c>
      <c r="O108" s="11">
        <f>IF(OR($A108="",$F108=""),"",MAX(1,IF(ISNUMBER(MATCH(LOWER($H108),{"open",""},0)),MIN(TODAY(),$G108),IF($I108="",$G108,$I108))-$F108))</f>
      </c>
      <c r="P108" s="12">
        <f>IF(OR($N108="",$M108="",$M108=0),"",$N108/$M108)</f>
      </c>
      <c r="Q108" s="12">
        <f>IF(OR($P108="",$O108=""),"",$P108*365/$O108)</f>
      </c>
      <c r="R108">
        <f>IF($N108="",0,$M108*$O108)</f>
      </c>
      <c r="S108">
        <f>IF(OR($A108="",LEFT($B108,5)="LEAPS"),0,$D108*100*$E108)</f>
      </c>
    </row>
    <row r="109" spans="1:19" x14ac:dyDescent="0.25">
      <c r="A109" s="13"/>
      <c r="B109" s="14"/>
      <c r="C109" s="15"/>
      <c r="D109" s="15"/>
      <c r="E109" s="16"/>
      <c r="F109" s="17"/>
      <c r="G109" s="17"/>
      <c r="H109" s="14"/>
      <c r="I109" s="17"/>
      <c r="J109" s="15"/>
      <c r="K109" s="15"/>
      <c r="L109" s="15"/>
      <c r="M109" s="9">
        <f>IF($A109="","",IF(LEFT($B109,5)="LEAPS",$D109,$C109)*100*$E109)</f>
      </c>
      <c r="N109" s="10">
        <f>IF(OR($A109="",ISNUMBER(MATCH(LOWER($H109),{"open",""},0))),"",IF(LEFT($B109,5)="LEAPS",-1,1)*($D109-IF(ISNUMBER(MATCH(LOWER($H109),{"closed"},0)),$J109,0))*100*$E109-$K109-$L109)</f>
      </c>
      <c r="O109" s="11">
        <f>IF(OR($A109="",$F109=""),"",MAX(1,IF(ISNUMBER(MATCH(LOWER($H109),{"open",""},0)),MIN(TODAY(),$G109),IF($I109="",$G109,$I109))-$F109))</f>
      </c>
      <c r="P109" s="12">
        <f>IF(OR($N109="",$M109="",$M109=0),"",$N109/$M109)</f>
      </c>
      <c r="Q109" s="12">
        <f>IF(OR($P109="",$O109=""),"",$P109*365/$O109)</f>
      </c>
      <c r="R109">
        <f>IF($N109="",0,$M109*$O109)</f>
      </c>
      <c r="S109">
        <f>IF(OR($A109="",LEFT($B109,5)="LEAPS"),0,$D109*100*$E109)</f>
      </c>
    </row>
    <row r="110" spans="1:19" x14ac:dyDescent="0.25">
      <c r="A110" s="13"/>
      <c r="B110" s="14"/>
      <c r="C110" s="15"/>
      <c r="D110" s="15"/>
      <c r="E110" s="16"/>
      <c r="F110" s="17"/>
      <c r="G110" s="17"/>
      <c r="H110" s="14"/>
      <c r="I110" s="17"/>
      <c r="J110" s="15"/>
      <c r="K110" s="15"/>
      <c r="L110" s="15"/>
      <c r="M110" s="9">
        <f>IF($A110="","",IF(LEFT($B110,5)="LEAPS",$D110,$C110)*100*$E110)</f>
      </c>
      <c r="N110" s="10">
        <f>IF(OR($A110="",ISNUMBER(MATCH(LOWER($H110),{"open",""},0))),"",IF(LEFT($B110,5)="LEAPS",-1,1)*($D110-IF(ISNUMBER(MATCH(LOWER($H110),{"closed"},0)),$J110,0))*100*$E110-$K110-$L110)</f>
      </c>
      <c r="O110" s="11">
        <f>IF(OR($A110="",$F110=""),"",MAX(1,IF(ISNUMBER(MATCH(LOWER($H110),{"open",""},0)),MIN(TODAY(),$G110),IF($I110="",$G110,$I110))-$F110))</f>
      </c>
      <c r="P110" s="12">
        <f>IF(OR($N110="",$M110="",$M110=0),"",$N110/$M110)</f>
      </c>
      <c r="Q110" s="12">
        <f>IF(OR($P110="",$O110=""),"",$P110*365/$O110)</f>
      </c>
      <c r="R110">
        <f>IF($N110="",0,$M110*$O110)</f>
      </c>
      <c r="S110">
        <f>IF(OR($A110="",LEFT($B110,5)="LEAPS"),0,$D110*100*$E110)</f>
      </c>
    </row>
    <row r="111" spans="1:19" x14ac:dyDescent="0.25">
      <c r="A111" s="13"/>
      <c r="B111" s="14"/>
      <c r="C111" s="15"/>
      <c r="D111" s="15"/>
      <c r="E111" s="16"/>
      <c r="F111" s="17"/>
      <c r="G111" s="17"/>
      <c r="H111" s="14"/>
      <c r="I111" s="17"/>
      <c r="J111" s="15"/>
      <c r="K111" s="15"/>
      <c r="L111" s="15"/>
      <c r="M111" s="9">
        <f>IF($A111="","",IF(LEFT($B111,5)="LEAPS",$D111,$C111)*100*$E111)</f>
      </c>
      <c r="N111" s="10">
        <f>IF(OR($A111="",ISNUMBER(MATCH(LOWER($H111),{"open",""},0))),"",IF(LEFT($B111,5)="LEAPS",-1,1)*($D111-IF(ISNUMBER(MATCH(LOWER($H111),{"closed"},0)),$J111,0))*100*$E111-$K111-$L111)</f>
      </c>
      <c r="O111" s="11">
        <f>IF(OR($A111="",$F111=""),"",MAX(1,IF(ISNUMBER(MATCH(LOWER($H111),{"open",""},0)),MIN(TODAY(),$G111),IF($I111="",$G111,$I111))-$F111))</f>
      </c>
      <c r="P111" s="12">
        <f>IF(OR($N111="",$M111="",$M111=0),"",$N111/$M111)</f>
      </c>
      <c r="Q111" s="12">
        <f>IF(OR($P111="",$O111=""),"",$P111*365/$O111)</f>
      </c>
      <c r="R111">
        <f>IF($N111="",0,$M111*$O111)</f>
      </c>
      <c r="S111">
        <f>IF(OR($A111="",LEFT($B111,5)="LEAPS"),0,$D111*100*$E111)</f>
      </c>
    </row>
    <row r="112" spans="1:19" x14ac:dyDescent="0.25">
      <c r="A112" s="13"/>
      <c r="B112" s="14"/>
      <c r="C112" s="15"/>
      <c r="D112" s="15"/>
      <c r="E112" s="16"/>
      <c r="F112" s="17"/>
      <c r="G112" s="17"/>
      <c r="H112" s="14"/>
      <c r="I112" s="17"/>
      <c r="J112" s="15"/>
      <c r="K112" s="15"/>
      <c r="L112" s="15"/>
      <c r="M112" s="9">
        <f>IF($A112="","",IF(LEFT($B112,5)="LEAPS",$D112,$C112)*100*$E112)</f>
      </c>
      <c r="N112" s="10">
        <f>IF(OR($A112="",ISNUMBER(MATCH(LOWER($H112),{"open",""},0))),"",IF(LEFT($B112,5)="LEAPS",-1,1)*($D112-IF(ISNUMBER(MATCH(LOWER($H112),{"closed"},0)),$J112,0))*100*$E112-$K112-$L112)</f>
      </c>
      <c r="O112" s="11">
        <f>IF(OR($A112="",$F112=""),"",MAX(1,IF(ISNUMBER(MATCH(LOWER($H112),{"open",""},0)),MIN(TODAY(),$G112),IF($I112="",$G112,$I112))-$F112))</f>
      </c>
      <c r="P112" s="12">
        <f>IF(OR($N112="",$M112="",$M112=0),"",$N112/$M112)</f>
      </c>
      <c r="Q112" s="12">
        <f>IF(OR($P112="",$O112=""),"",$P112*365/$O112)</f>
      </c>
      <c r="R112">
        <f>IF($N112="",0,$M112*$O112)</f>
      </c>
      <c r="S112">
        <f>IF(OR($A112="",LEFT($B112,5)="LEAPS"),0,$D112*100*$E112)</f>
      </c>
    </row>
    <row r="113" spans="1:19" x14ac:dyDescent="0.25">
      <c r="A113" s="13"/>
      <c r="B113" s="14"/>
      <c r="C113" s="15"/>
      <c r="D113" s="15"/>
      <c r="E113" s="16"/>
      <c r="F113" s="17"/>
      <c r="G113" s="17"/>
      <c r="H113" s="14"/>
      <c r="I113" s="17"/>
      <c r="J113" s="15"/>
      <c r="K113" s="15"/>
      <c r="L113" s="15"/>
      <c r="M113" s="9">
        <f>IF($A113="","",IF(LEFT($B113,5)="LEAPS",$D113,$C113)*100*$E113)</f>
      </c>
      <c r="N113" s="10">
        <f>IF(OR($A113="",ISNUMBER(MATCH(LOWER($H113),{"open",""},0))),"",IF(LEFT($B113,5)="LEAPS",-1,1)*($D113-IF(ISNUMBER(MATCH(LOWER($H113),{"closed"},0)),$J113,0))*100*$E113-$K113-$L113)</f>
      </c>
      <c r="O113" s="11">
        <f>IF(OR($A113="",$F113=""),"",MAX(1,IF(ISNUMBER(MATCH(LOWER($H113),{"open",""},0)),MIN(TODAY(),$G113),IF($I113="",$G113,$I113))-$F113))</f>
      </c>
      <c r="P113" s="12">
        <f>IF(OR($N113="",$M113="",$M113=0),"",$N113/$M113)</f>
      </c>
      <c r="Q113" s="12">
        <f>IF(OR($P113="",$O113=""),"",$P113*365/$O113)</f>
      </c>
      <c r="R113">
        <f>IF($N113="",0,$M113*$O113)</f>
      </c>
      <c r="S113">
        <f>IF(OR($A113="",LEFT($B113,5)="LEAPS"),0,$D113*100*$E113)</f>
      </c>
    </row>
    <row r="114" spans="1:19" x14ac:dyDescent="0.25">
      <c r="A114" s="13"/>
      <c r="B114" s="14"/>
      <c r="C114" s="15"/>
      <c r="D114" s="15"/>
      <c r="E114" s="16"/>
      <c r="F114" s="17"/>
      <c r="G114" s="17"/>
      <c r="H114" s="14"/>
      <c r="I114" s="17"/>
      <c r="J114" s="15"/>
      <c r="K114" s="15"/>
      <c r="L114" s="15"/>
      <c r="M114" s="9">
        <f>IF($A114="","",IF(LEFT($B114,5)="LEAPS",$D114,$C114)*100*$E114)</f>
      </c>
      <c r="N114" s="10">
        <f>IF(OR($A114="",ISNUMBER(MATCH(LOWER($H114),{"open",""},0))),"",IF(LEFT($B114,5)="LEAPS",-1,1)*($D114-IF(ISNUMBER(MATCH(LOWER($H114),{"closed"},0)),$J114,0))*100*$E114-$K114-$L114)</f>
      </c>
      <c r="O114" s="11">
        <f>IF(OR($A114="",$F114=""),"",MAX(1,IF(ISNUMBER(MATCH(LOWER($H114),{"open",""},0)),MIN(TODAY(),$G114),IF($I114="",$G114,$I114))-$F114))</f>
      </c>
      <c r="P114" s="12">
        <f>IF(OR($N114="",$M114="",$M114=0),"",$N114/$M114)</f>
      </c>
      <c r="Q114" s="12">
        <f>IF(OR($P114="",$O114=""),"",$P114*365/$O114)</f>
      </c>
      <c r="R114">
        <f>IF($N114="",0,$M114*$O114)</f>
      </c>
      <c r="S114">
        <f>IF(OR($A114="",LEFT($B114,5)="LEAPS"),0,$D114*100*$E114)</f>
      </c>
    </row>
    <row r="115" spans="1:19" x14ac:dyDescent="0.25">
      <c r="A115" s="13"/>
      <c r="B115" s="14"/>
      <c r="C115" s="15"/>
      <c r="D115" s="15"/>
      <c r="E115" s="16"/>
      <c r="F115" s="17"/>
      <c r="G115" s="17"/>
      <c r="H115" s="14"/>
      <c r="I115" s="17"/>
      <c r="J115" s="15"/>
      <c r="K115" s="15"/>
      <c r="L115" s="15"/>
      <c r="M115" s="9">
        <f>IF($A115="","",IF(LEFT($B115,5)="LEAPS",$D115,$C115)*100*$E115)</f>
      </c>
      <c r="N115" s="10">
        <f>IF(OR($A115="",ISNUMBER(MATCH(LOWER($H115),{"open",""},0))),"",IF(LEFT($B115,5)="LEAPS",-1,1)*($D115-IF(ISNUMBER(MATCH(LOWER($H115),{"closed"},0)),$J115,0))*100*$E115-$K115-$L115)</f>
      </c>
      <c r="O115" s="11">
        <f>IF(OR($A115="",$F115=""),"",MAX(1,IF(ISNUMBER(MATCH(LOWER($H115),{"open",""},0)),MIN(TODAY(),$G115),IF($I115="",$G115,$I115))-$F115))</f>
      </c>
      <c r="P115" s="12">
        <f>IF(OR($N115="",$M115="",$M115=0),"",$N115/$M115)</f>
      </c>
      <c r="Q115" s="12">
        <f>IF(OR($P115="",$O115=""),"",$P115*365/$O115)</f>
      </c>
      <c r="R115">
        <f>IF($N115="",0,$M115*$O115)</f>
      </c>
      <c r="S115">
        <f>IF(OR($A115="",LEFT($B115,5)="LEAPS"),0,$D115*100*$E115)</f>
      </c>
    </row>
    <row r="116" spans="1:19" x14ac:dyDescent="0.25">
      <c r="A116" s="13"/>
      <c r="B116" s="14"/>
      <c r="C116" s="15"/>
      <c r="D116" s="15"/>
      <c r="E116" s="16"/>
      <c r="F116" s="17"/>
      <c r="G116" s="17"/>
      <c r="H116" s="14"/>
      <c r="I116" s="17"/>
      <c r="J116" s="15"/>
      <c r="K116" s="15"/>
      <c r="L116" s="15"/>
      <c r="M116" s="9">
        <f>IF($A116="","",IF(LEFT($B116,5)="LEAPS",$D116,$C116)*100*$E116)</f>
      </c>
      <c r="N116" s="10">
        <f>IF(OR($A116="",ISNUMBER(MATCH(LOWER($H116),{"open",""},0))),"",IF(LEFT($B116,5)="LEAPS",-1,1)*($D116-IF(ISNUMBER(MATCH(LOWER($H116),{"closed"},0)),$J116,0))*100*$E116-$K116-$L116)</f>
      </c>
      <c r="O116" s="11">
        <f>IF(OR($A116="",$F116=""),"",MAX(1,IF(ISNUMBER(MATCH(LOWER($H116),{"open",""},0)),MIN(TODAY(),$G116),IF($I116="",$G116,$I116))-$F116))</f>
      </c>
      <c r="P116" s="12">
        <f>IF(OR($N116="",$M116="",$M116=0),"",$N116/$M116)</f>
      </c>
      <c r="Q116" s="12">
        <f>IF(OR($P116="",$O116=""),"",$P116*365/$O116)</f>
      </c>
      <c r="R116">
        <f>IF($N116="",0,$M116*$O116)</f>
      </c>
      <c r="S116">
        <f>IF(OR($A116="",LEFT($B116,5)="LEAPS"),0,$D116*100*$E116)</f>
      </c>
    </row>
    <row r="117" spans="1:19" x14ac:dyDescent="0.25">
      <c r="A117" s="13"/>
      <c r="B117" s="14"/>
      <c r="C117" s="15"/>
      <c r="D117" s="15"/>
      <c r="E117" s="16"/>
      <c r="F117" s="17"/>
      <c r="G117" s="17"/>
      <c r="H117" s="14"/>
      <c r="I117" s="17"/>
      <c r="J117" s="15"/>
      <c r="K117" s="15"/>
      <c r="L117" s="15"/>
      <c r="M117" s="9">
        <f>IF($A117="","",IF(LEFT($B117,5)="LEAPS",$D117,$C117)*100*$E117)</f>
      </c>
      <c r="N117" s="10">
        <f>IF(OR($A117="",ISNUMBER(MATCH(LOWER($H117),{"open",""},0))),"",IF(LEFT($B117,5)="LEAPS",-1,1)*($D117-IF(ISNUMBER(MATCH(LOWER($H117),{"closed"},0)),$J117,0))*100*$E117-$K117-$L117)</f>
      </c>
      <c r="O117" s="11">
        <f>IF(OR($A117="",$F117=""),"",MAX(1,IF(ISNUMBER(MATCH(LOWER($H117),{"open",""},0)),MIN(TODAY(),$G117),IF($I117="",$G117,$I117))-$F117))</f>
      </c>
      <c r="P117" s="12">
        <f>IF(OR($N117="",$M117="",$M117=0),"",$N117/$M117)</f>
      </c>
      <c r="Q117" s="12">
        <f>IF(OR($P117="",$O117=""),"",$P117*365/$O117)</f>
      </c>
      <c r="R117">
        <f>IF($N117="",0,$M117*$O117)</f>
      </c>
      <c r="S117">
        <f>IF(OR($A117="",LEFT($B117,5)="LEAPS"),0,$D117*100*$E117)</f>
      </c>
    </row>
    <row r="118" spans="1:19" x14ac:dyDescent="0.25">
      <c r="A118" s="13"/>
      <c r="B118" s="14"/>
      <c r="C118" s="15"/>
      <c r="D118" s="15"/>
      <c r="E118" s="16"/>
      <c r="F118" s="17"/>
      <c r="G118" s="17"/>
      <c r="H118" s="14"/>
      <c r="I118" s="17"/>
      <c r="J118" s="15"/>
      <c r="K118" s="15"/>
      <c r="L118" s="15"/>
      <c r="M118" s="9">
        <f>IF($A118="","",IF(LEFT($B118,5)="LEAPS",$D118,$C118)*100*$E118)</f>
      </c>
      <c r="N118" s="10">
        <f>IF(OR($A118="",ISNUMBER(MATCH(LOWER($H118),{"open",""},0))),"",IF(LEFT($B118,5)="LEAPS",-1,1)*($D118-IF(ISNUMBER(MATCH(LOWER($H118),{"closed"},0)),$J118,0))*100*$E118-$K118-$L118)</f>
      </c>
      <c r="O118" s="11">
        <f>IF(OR($A118="",$F118=""),"",MAX(1,IF(ISNUMBER(MATCH(LOWER($H118),{"open",""},0)),MIN(TODAY(),$G118),IF($I118="",$G118,$I118))-$F118))</f>
      </c>
      <c r="P118" s="12">
        <f>IF(OR($N118="",$M118="",$M118=0),"",$N118/$M118)</f>
      </c>
      <c r="Q118" s="12">
        <f>IF(OR($P118="",$O118=""),"",$P118*365/$O118)</f>
      </c>
      <c r="R118">
        <f>IF($N118="",0,$M118*$O118)</f>
      </c>
      <c r="S118">
        <f>IF(OR($A118="",LEFT($B118,5)="LEAPS"),0,$D118*100*$E118)</f>
      </c>
    </row>
    <row r="119" spans="1:19" x14ac:dyDescent="0.25">
      <c r="A119" s="13"/>
      <c r="B119" s="14"/>
      <c r="C119" s="15"/>
      <c r="D119" s="15"/>
      <c r="E119" s="16"/>
      <c r="F119" s="17"/>
      <c r="G119" s="17"/>
      <c r="H119" s="14"/>
      <c r="I119" s="17"/>
      <c r="J119" s="15"/>
      <c r="K119" s="15"/>
      <c r="L119" s="15"/>
      <c r="M119" s="9">
        <f>IF($A119="","",IF(LEFT($B119,5)="LEAPS",$D119,$C119)*100*$E119)</f>
      </c>
      <c r="N119" s="10">
        <f>IF(OR($A119="",ISNUMBER(MATCH(LOWER($H119),{"open",""},0))),"",IF(LEFT($B119,5)="LEAPS",-1,1)*($D119-IF(ISNUMBER(MATCH(LOWER($H119),{"closed"},0)),$J119,0))*100*$E119-$K119-$L119)</f>
      </c>
      <c r="O119" s="11">
        <f>IF(OR($A119="",$F119=""),"",MAX(1,IF(ISNUMBER(MATCH(LOWER($H119),{"open",""},0)),MIN(TODAY(),$G119),IF($I119="",$G119,$I119))-$F119))</f>
      </c>
      <c r="P119" s="12">
        <f>IF(OR($N119="",$M119="",$M119=0),"",$N119/$M119)</f>
      </c>
      <c r="Q119" s="12">
        <f>IF(OR($P119="",$O119=""),"",$P119*365/$O119)</f>
      </c>
      <c r="R119">
        <f>IF($N119="",0,$M119*$O119)</f>
      </c>
      <c r="S119">
        <f>IF(OR($A119="",LEFT($B119,5)="LEAPS"),0,$D119*100*$E119)</f>
      </c>
    </row>
    <row r="120" spans="1:19" x14ac:dyDescent="0.25">
      <c r="A120" s="13"/>
      <c r="B120" s="14"/>
      <c r="C120" s="15"/>
      <c r="D120" s="15"/>
      <c r="E120" s="16"/>
      <c r="F120" s="17"/>
      <c r="G120" s="17"/>
      <c r="H120" s="14"/>
      <c r="I120" s="17"/>
      <c r="J120" s="15"/>
      <c r="K120" s="15"/>
      <c r="L120" s="15"/>
      <c r="M120" s="9">
        <f>IF($A120="","",IF(LEFT($B120,5)="LEAPS",$D120,$C120)*100*$E120)</f>
      </c>
      <c r="N120" s="10">
        <f>IF(OR($A120="",ISNUMBER(MATCH(LOWER($H120),{"open",""},0))),"",IF(LEFT($B120,5)="LEAPS",-1,1)*($D120-IF(ISNUMBER(MATCH(LOWER($H120),{"closed"},0)),$J120,0))*100*$E120-$K120-$L120)</f>
      </c>
      <c r="O120" s="11">
        <f>IF(OR($A120="",$F120=""),"",MAX(1,IF(ISNUMBER(MATCH(LOWER($H120),{"open",""},0)),MIN(TODAY(),$G120),IF($I120="",$G120,$I120))-$F120))</f>
      </c>
      <c r="P120" s="12">
        <f>IF(OR($N120="",$M120="",$M120=0),"",$N120/$M120)</f>
      </c>
      <c r="Q120" s="12">
        <f>IF(OR($P120="",$O120=""),"",$P120*365/$O120)</f>
      </c>
      <c r="R120">
        <f>IF($N120="",0,$M120*$O120)</f>
      </c>
      <c r="S120">
        <f>IF(OR($A120="",LEFT($B120,5)="LEAPS"),0,$D120*100*$E120)</f>
      </c>
    </row>
    <row r="121" spans="1:19" x14ac:dyDescent="0.25">
      <c r="A121" s="13"/>
      <c r="B121" s="14"/>
      <c r="C121" s="15"/>
      <c r="D121" s="15"/>
      <c r="E121" s="16"/>
      <c r="F121" s="17"/>
      <c r="G121" s="17"/>
      <c r="H121" s="14"/>
      <c r="I121" s="17"/>
      <c r="J121" s="15"/>
      <c r="K121" s="15"/>
      <c r="L121" s="15"/>
      <c r="M121" s="9">
        <f>IF($A121="","",IF(LEFT($B121,5)="LEAPS",$D121,$C121)*100*$E121)</f>
      </c>
      <c r="N121" s="10">
        <f>IF(OR($A121="",ISNUMBER(MATCH(LOWER($H121),{"open",""},0))),"",IF(LEFT($B121,5)="LEAPS",-1,1)*($D121-IF(ISNUMBER(MATCH(LOWER($H121),{"closed"},0)),$J121,0))*100*$E121-$K121-$L121)</f>
      </c>
      <c r="O121" s="11">
        <f>IF(OR($A121="",$F121=""),"",MAX(1,IF(ISNUMBER(MATCH(LOWER($H121),{"open",""},0)),MIN(TODAY(),$G121),IF($I121="",$G121,$I121))-$F121))</f>
      </c>
      <c r="P121" s="12">
        <f>IF(OR($N121="",$M121="",$M121=0),"",$N121/$M121)</f>
      </c>
      <c r="Q121" s="12">
        <f>IF(OR($P121="",$O121=""),"",$P121*365/$O121)</f>
      </c>
      <c r="R121">
        <f>IF($N121="",0,$M121*$O121)</f>
      </c>
      <c r="S121">
        <f>IF(OR($A121="",LEFT($B121,5)="LEAPS"),0,$D121*100*$E121)</f>
      </c>
    </row>
    <row r="122" spans="1:19" x14ac:dyDescent="0.25">
      <c r="A122" s="13"/>
      <c r="B122" s="14"/>
      <c r="C122" s="15"/>
      <c r="D122" s="15"/>
      <c r="E122" s="16"/>
      <c r="F122" s="17"/>
      <c r="G122" s="17"/>
      <c r="H122" s="14"/>
      <c r="I122" s="17"/>
      <c r="J122" s="15"/>
      <c r="K122" s="15"/>
      <c r="L122" s="15"/>
      <c r="M122" s="9">
        <f>IF($A122="","",IF(LEFT($B122,5)="LEAPS",$D122,$C122)*100*$E122)</f>
      </c>
      <c r="N122" s="10">
        <f>IF(OR($A122="",ISNUMBER(MATCH(LOWER($H122),{"open",""},0))),"",IF(LEFT($B122,5)="LEAPS",-1,1)*($D122-IF(ISNUMBER(MATCH(LOWER($H122),{"closed"},0)),$J122,0))*100*$E122-$K122-$L122)</f>
      </c>
      <c r="O122" s="11">
        <f>IF(OR($A122="",$F122=""),"",MAX(1,IF(ISNUMBER(MATCH(LOWER($H122),{"open",""},0)),MIN(TODAY(),$G122),IF($I122="",$G122,$I122))-$F122))</f>
      </c>
      <c r="P122" s="12">
        <f>IF(OR($N122="",$M122="",$M122=0),"",$N122/$M122)</f>
      </c>
      <c r="Q122" s="12">
        <f>IF(OR($P122="",$O122=""),"",$P122*365/$O122)</f>
      </c>
      <c r="R122">
        <f>IF($N122="",0,$M122*$O122)</f>
      </c>
      <c r="S122">
        <f>IF(OR($A122="",LEFT($B122,5)="LEAPS"),0,$D122*100*$E122)</f>
      </c>
    </row>
    <row r="123" spans="1:19" x14ac:dyDescent="0.25">
      <c r="A123" s="13"/>
      <c r="B123" s="14"/>
      <c r="C123" s="15"/>
      <c r="D123" s="15"/>
      <c r="E123" s="16"/>
      <c r="F123" s="17"/>
      <c r="G123" s="17"/>
      <c r="H123" s="14"/>
      <c r="I123" s="17"/>
      <c r="J123" s="15"/>
      <c r="K123" s="15"/>
      <c r="L123" s="15"/>
      <c r="M123" s="9">
        <f>IF($A123="","",IF(LEFT($B123,5)="LEAPS",$D123,$C123)*100*$E123)</f>
      </c>
      <c r="N123" s="10">
        <f>IF(OR($A123="",ISNUMBER(MATCH(LOWER($H123),{"open",""},0))),"",IF(LEFT($B123,5)="LEAPS",-1,1)*($D123-IF(ISNUMBER(MATCH(LOWER($H123),{"closed"},0)),$J123,0))*100*$E123-$K123-$L123)</f>
      </c>
      <c r="O123" s="11">
        <f>IF(OR($A123="",$F123=""),"",MAX(1,IF(ISNUMBER(MATCH(LOWER($H123),{"open",""},0)),MIN(TODAY(),$G123),IF($I123="",$G123,$I123))-$F123))</f>
      </c>
      <c r="P123" s="12">
        <f>IF(OR($N123="",$M123="",$M123=0),"",$N123/$M123)</f>
      </c>
      <c r="Q123" s="12">
        <f>IF(OR($P123="",$O123=""),"",$P123*365/$O123)</f>
      </c>
      <c r="R123">
        <f>IF($N123="",0,$M123*$O123)</f>
      </c>
      <c r="S123">
        <f>IF(OR($A123="",LEFT($B123,5)="LEAPS"),0,$D123*100*$E123)</f>
      </c>
    </row>
    <row r="124" spans="1:19" x14ac:dyDescent="0.25">
      <c r="A124" s="13"/>
      <c r="B124" s="14"/>
      <c r="C124" s="15"/>
      <c r="D124" s="15"/>
      <c r="E124" s="16"/>
      <c r="F124" s="17"/>
      <c r="G124" s="17"/>
      <c r="H124" s="14"/>
      <c r="I124" s="17"/>
      <c r="J124" s="15"/>
      <c r="K124" s="15"/>
      <c r="L124" s="15"/>
      <c r="M124" s="9">
        <f>IF($A124="","",IF(LEFT($B124,5)="LEAPS",$D124,$C124)*100*$E124)</f>
      </c>
      <c r="N124" s="10">
        <f>IF(OR($A124="",ISNUMBER(MATCH(LOWER($H124),{"open",""},0))),"",IF(LEFT($B124,5)="LEAPS",-1,1)*($D124-IF(ISNUMBER(MATCH(LOWER($H124),{"closed"},0)),$J124,0))*100*$E124-$K124-$L124)</f>
      </c>
      <c r="O124" s="11">
        <f>IF(OR($A124="",$F124=""),"",MAX(1,IF(ISNUMBER(MATCH(LOWER($H124),{"open",""},0)),MIN(TODAY(),$G124),IF($I124="",$G124,$I124))-$F124))</f>
      </c>
      <c r="P124" s="12">
        <f>IF(OR($N124="",$M124="",$M124=0),"",$N124/$M124)</f>
      </c>
      <c r="Q124" s="12">
        <f>IF(OR($P124="",$O124=""),"",$P124*365/$O124)</f>
      </c>
      <c r="R124">
        <f>IF($N124="",0,$M124*$O124)</f>
      </c>
      <c r="S124">
        <f>IF(OR($A124="",LEFT($B124,5)="LEAPS"),0,$D124*100*$E124)</f>
      </c>
    </row>
    <row r="125" spans="1:19" x14ac:dyDescent="0.25">
      <c r="A125" s="13"/>
      <c r="B125" s="14"/>
      <c r="C125" s="15"/>
      <c r="D125" s="15"/>
      <c r="E125" s="16"/>
      <c r="F125" s="17"/>
      <c r="G125" s="17"/>
      <c r="H125" s="14"/>
      <c r="I125" s="17"/>
      <c r="J125" s="15"/>
      <c r="K125" s="15"/>
      <c r="L125" s="15"/>
      <c r="M125" s="9">
        <f>IF($A125="","",IF(LEFT($B125,5)="LEAPS",$D125,$C125)*100*$E125)</f>
      </c>
      <c r="N125" s="10">
        <f>IF(OR($A125="",ISNUMBER(MATCH(LOWER($H125),{"open",""},0))),"",IF(LEFT($B125,5)="LEAPS",-1,1)*($D125-IF(ISNUMBER(MATCH(LOWER($H125),{"closed"},0)),$J125,0))*100*$E125-$K125-$L125)</f>
      </c>
      <c r="O125" s="11">
        <f>IF(OR($A125="",$F125=""),"",MAX(1,IF(ISNUMBER(MATCH(LOWER($H125),{"open",""},0)),MIN(TODAY(),$G125),IF($I125="",$G125,$I125))-$F125))</f>
      </c>
      <c r="P125" s="12">
        <f>IF(OR($N125="",$M125="",$M125=0),"",$N125/$M125)</f>
      </c>
      <c r="Q125" s="12">
        <f>IF(OR($P125="",$O125=""),"",$P125*365/$O125)</f>
      </c>
      <c r="R125">
        <f>IF($N125="",0,$M125*$O125)</f>
      </c>
      <c r="S125">
        <f>IF(OR($A125="",LEFT($B125,5)="LEAPS"),0,$D125*100*$E125)</f>
      </c>
    </row>
    <row r="126" spans="1:19" x14ac:dyDescent="0.25">
      <c r="A126" s="13"/>
      <c r="B126" s="14"/>
      <c r="C126" s="15"/>
      <c r="D126" s="15"/>
      <c r="E126" s="16"/>
      <c r="F126" s="17"/>
      <c r="G126" s="17"/>
      <c r="H126" s="14"/>
      <c r="I126" s="17"/>
      <c r="J126" s="15"/>
      <c r="K126" s="15"/>
      <c r="L126" s="15"/>
      <c r="M126" s="9">
        <f>IF($A126="","",IF(LEFT($B126,5)="LEAPS",$D126,$C126)*100*$E126)</f>
      </c>
      <c r="N126" s="10">
        <f>IF(OR($A126="",ISNUMBER(MATCH(LOWER($H126),{"open",""},0))),"",IF(LEFT($B126,5)="LEAPS",-1,1)*($D126-IF(ISNUMBER(MATCH(LOWER($H126),{"closed"},0)),$J126,0))*100*$E126-$K126-$L126)</f>
      </c>
      <c r="O126" s="11">
        <f>IF(OR($A126="",$F126=""),"",MAX(1,IF(ISNUMBER(MATCH(LOWER($H126),{"open",""},0)),MIN(TODAY(),$G126),IF($I126="",$G126,$I126))-$F126))</f>
      </c>
      <c r="P126" s="12">
        <f>IF(OR($N126="",$M126="",$M126=0),"",$N126/$M126)</f>
      </c>
      <c r="Q126" s="12">
        <f>IF(OR($P126="",$O126=""),"",$P126*365/$O126)</f>
      </c>
      <c r="R126">
        <f>IF($N126="",0,$M126*$O126)</f>
      </c>
      <c r="S126">
        <f>IF(OR($A126="",LEFT($B126,5)="LEAPS"),0,$D126*100*$E126)</f>
      </c>
    </row>
    <row r="127" spans="1:19" x14ac:dyDescent="0.25">
      <c r="A127" s="13"/>
      <c r="B127" s="14"/>
      <c r="C127" s="15"/>
      <c r="D127" s="15"/>
      <c r="E127" s="16"/>
      <c r="F127" s="17"/>
      <c r="G127" s="17"/>
      <c r="H127" s="14"/>
      <c r="I127" s="17"/>
      <c r="J127" s="15"/>
      <c r="K127" s="15"/>
      <c r="L127" s="15"/>
      <c r="M127" s="9">
        <f>IF($A127="","",IF(LEFT($B127,5)="LEAPS",$D127,$C127)*100*$E127)</f>
      </c>
      <c r="N127" s="10">
        <f>IF(OR($A127="",ISNUMBER(MATCH(LOWER($H127),{"open",""},0))),"",IF(LEFT($B127,5)="LEAPS",-1,1)*($D127-IF(ISNUMBER(MATCH(LOWER($H127),{"closed"},0)),$J127,0))*100*$E127-$K127-$L127)</f>
      </c>
      <c r="O127" s="11">
        <f>IF(OR($A127="",$F127=""),"",MAX(1,IF(ISNUMBER(MATCH(LOWER($H127),{"open",""},0)),MIN(TODAY(),$G127),IF($I127="",$G127,$I127))-$F127))</f>
      </c>
      <c r="P127" s="12">
        <f>IF(OR($N127="",$M127="",$M127=0),"",$N127/$M127)</f>
      </c>
      <c r="Q127" s="12">
        <f>IF(OR($P127="",$O127=""),"",$P127*365/$O127)</f>
      </c>
      <c r="R127">
        <f>IF($N127="",0,$M127*$O127)</f>
      </c>
      <c r="S127">
        <f>IF(OR($A127="",LEFT($B127,5)="LEAPS"),0,$D127*100*$E127)</f>
      </c>
    </row>
    <row r="128" spans="1:19" x14ac:dyDescent="0.25">
      <c r="A128" s="13"/>
      <c r="B128" s="14"/>
      <c r="C128" s="15"/>
      <c r="D128" s="15"/>
      <c r="E128" s="16"/>
      <c r="F128" s="17"/>
      <c r="G128" s="17"/>
      <c r="H128" s="14"/>
      <c r="I128" s="17"/>
      <c r="J128" s="15"/>
      <c r="K128" s="15"/>
      <c r="L128" s="15"/>
      <c r="M128" s="9">
        <f>IF($A128="","",IF(LEFT($B128,5)="LEAPS",$D128,$C128)*100*$E128)</f>
      </c>
      <c r="N128" s="10">
        <f>IF(OR($A128="",ISNUMBER(MATCH(LOWER($H128),{"open",""},0))),"",IF(LEFT($B128,5)="LEAPS",-1,1)*($D128-IF(ISNUMBER(MATCH(LOWER($H128),{"closed"},0)),$J128,0))*100*$E128-$K128-$L128)</f>
      </c>
      <c r="O128" s="11">
        <f>IF(OR($A128="",$F128=""),"",MAX(1,IF(ISNUMBER(MATCH(LOWER($H128),{"open",""},0)),MIN(TODAY(),$G128),IF($I128="",$G128,$I128))-$F128))</f>
      </c>
      <c r="P128" s="12">
        <f>IF(OR($N128="",$M128="",$M128=0),"",$N128/$M128)</f>
      </c>
      <c r="Q128" s="12">
        <f>IF(OR($P128="",$O128=""),"",$P128*365/$O128)</f>
      </c>
      <c r="R128">
        <f>IF($N128="",0,$M128*$O128)</f>
      </c>
      <c r="S128">
        <f>IF(OR($A128="",LEFT($B128,5)="LEAPS"),0,$D128*100*$E128)</f>
      </c>
    </row>
    <row r="129" spans="1:19" x14ac:dyDescent="0.25">
      <c r="A129" s="13"/>
      <c r="B129" s="14"/>
      <c r="C129" s="15"/>
      <c r="D129" s="15"/>
      <c r="E129" s="16"/>
      <c r="F129" s="17"/>
      <c r="G129" s="17"/>
      <c r="H129" s="14"/>
      <c r="I129" s="17"/>
      <c r="J129" s="15"/>
      <c r="K129" s="15"/>
      <c r="L129" s="15"/>
      <c r="M129" s="9">
        <f>IF($A129="","",IF(LEFT($B129,5)="LEAPS",$D129,$C129)*100*$E129)</f>
      </c>
      <c r="N129" s="10">
        <f>IF(OR($A129="",ISNUMBER(MATCH(LOWER($H129),{"open",""},0))),"",IF(LEFT($B129,5)="LEAPS",-1,1)*($D129-IF(ISNUMBER(MATCH(LOWER($H129),{"closed"},0)),$J129,0))*100*$E129-$K129-$L129)</f>
      </c>
      <c r="O129" s="11">
        <f>IF(OR($A129="",$F129=""),"",MAX(1,IF(ISNUMBER(MATCH(LOWER($H129),{"open",""},0)),MIN(TODAY(),$G129),IF($I129="",$G129,$I129))-$F129))</f>
      </c>
      <c r="P129" s="12">
        <f>IF(OR($N129="",$M129="",$M129=0),"",$N129/$M129)</f>
      </c>
      <c r="Q129" s="12">
        <f>IF(OR($P129="",$O129=""),"",$P129*365/$O129)</f>
      </c>
      <c r="R129">
        <f>IF($N129="",0,$M129*$O129)</f>
      </c>
      <c r="S129">
        <f>IF(OR($A129="",LEFT($B129,5)="LEAPS"),0,$D129*100*$E129)</f>
      </c>
    </row>
    <row r="130" spans="1:19" x14ac:dyDescent="0.25">
      <c r="A130" s="13"/>
      <c r="B130" s="14"/>
      <c r="C130" s="15"/>
      <c r="D130" s="15"/>
      <c r="E130" s="16"/>
      <c r="F130" s="17"/>
      <c r="G130" s="17"/>
      <c r="H130" s="14"/>
      <c r="I130" s="17"/>
      <c r="J130" s="15"/>
      <c r="K130" s="15"/>
      <c r="L130" s="15"/>
      <c r="M130" s="9">
        <f>IF($A130="","",IF(LEFT($B130,5)="LEAPS",$D130,$C130)*100*$E130)</f>
      </c>
      <c r="N130" s="10">
        <f>IF(OR($A130="",ISNUMBER(MATCH(LOWER($H130),{"open",""},0))),"",IF(LEFT($B130,5)="LEAPS",-1,1)*($D130-IF(ISNUMBER(MATCH(LOWER($H130),{"closed"},0)),$J130,0))*100*$E130-$K130-$L130)</f>
      </c>
      <c r="O130" s="11">
        <f>IF(OR($A130="",$F130=""),"",MAX(1,IF(ISNUMBER(MATCH(LOWER($H130),{"open",""},0)),MIN(TODAY(),$G130),IF($I130="",$G130,$I130))-$F130))</f>
      </c>
      <c r="P130" s="12">
        <f>IF(OR($N130="",$M130="",$M130=0),"",$N130/$M130)</f>
      </c>
      <c r="Q130" s="12">
        <f>IF(OR($P130="",$O130=""),"",$P130*365/$O130)</f>
      </c>
      <c r="R130">
        <f>IF($N130="",0,$M130*$O130)</f>
      </c>
      <c r="S130">
        <f>IF(OR($A130="",LEFT($B130,5)="LEAPS"),0,$D130*100*$E130)</f>
      </c>
    </row>
    <row r="131" spans="1:19" x14ac:dyDescent="0.25">
      <c r="A131" s="13"/>
      <c r="B131" s="14"/>
      <c r="C131" s="15"/>
      <c r="D131" s="15"/>
      <c r="E131" s="16"/>
      <c r="F131" s="17"/>
      <c r="G131" s="17"/>
      <c r="H131" s="14"/>
      <c r="I131" s="17"/>
      <c r="J131" s="15"/>
      <c r="K131" s="15"/>
      <c r="L131" s="15"/>
      <c r="M131" s="9">
        <f>IF($A131="","",IF(LEFT($B131,5)="LEAPS",$D131,$C131)*100*$E131)</f>
      </c>
      <c r="N131" s="10">
        <f>IF(OR($A131="",ISNUMBER(MATCH(LOWER($H131),{"open",""},0))),"",IF(LEFT($B131,5)="LEAPS",-1,1)*($D131-IF(ISNUMBER(MATCH(LOWER($H131),{"closed"},0)),$J131,0))*100*$E131-$K131-$L131)</f>
      </c>
      <c r="O131" s="11">
        <f>IF(OR($A131="",$F131=""),"",MAX(1,IF(ISNUMBER(MATCH(LOWER($H131),{"open",""},0)),MIN(TODAY(),$G131),IF($I131="",$G131,$I131))-$F131))</f>
      </c>
      <c r="P131" s="12">
        <f>IF(OR($N131="",$M131="",$M131=0),"",$N131/$M131)</f>
      </c>
      <c r="Q131" s="12">
        <f>IF(OR($P131="",$O131=""),"",$P131*365/$O131)</f>
      </c>
      <c r="R131">
        <f>IF($N131="",0,$M131*$O131)</f>
      </c>
      <c r="S131">
        <f>IF(OR($A131="",LEFT($B131,5)="LEAPS"),0,$D131*100*$E131)</f>
      </c>
    </row>
    <row r="132" spans="1:19" x14ac:dyDescent="0.25">
      <c r="A132" s="13"/>
      <c r="B132" s="14"/>
      <c r="C132" s="15"/>
      <c r="D132" s="15"/>
      <c r="E132" s="16"/>
      <c r="F132" s="17"/>
      <c r="G132" s="17"/>
      <c r="H132" s="14"/>
      <c r="I132" s="17"/>
      <c r="J132" s="15"/>
      <c r="K132" s="15"/>
      <c r="L132" s="15"/>
      <c r="M132" s="9">
        <f>IF($A132="","",IF(LEFT($B132,5)="LEAPS",$D132,$C132)*100*$E132)</f>
      </c>
      <c r="N132" s="10">
        <f>IF(OR($A132="",ISNUMBER(MATCH(LOWER($H132),{"open",""},0))),"",IF(LEFT($B132,5)="LEAPS",-1,1)*($D132-IF(ISNUMBER(MATCH(LOWER($H132),{"closed"},0)),$J132,0))*100*$E132-$K132-$L132)</f>
      </c>
      <c r="O132" s="11">
        <f>IF(OR($A132="",$F132=""),"",MAX(1,IF(ISNUMBER(MATCH(LOWER($H132),{"open",""},0)),MIN(TODAY(),$G132),IF($I132="",$G132,$I132))-$F132))</f>
      </c>
      <c r="P132" s="12">
        <f>IF(OR($N132="",$M132="",$M132=0),"",$N132/$M132)</f>
      </c>
      <c r="Q132" s="12">
        <f>IF(OR($P132="",$O132=""),"",$P132*365/$O132)</f>
      </c>
      <c r="R132">
        <f>IF($N132="",0,$M132*$O132)</f>
      </c>
      <c r="S132">
        <f>IF(OR($A132="",LEFT($B132,5)="LEAPS"),0,$D132*100*$E132)</f>
      </c>
    </row>
    <row r="133" spans="1:19" x14ac:dyDescent="0.25">
      <c r="A133" s="13"/>
      <c r="B133" s="14"/>
      <c r="C133" s="15"/>
      <c r="D133" s="15"/>
      <c r="E133" s="16"/>
      <c r="F133" s="17"/>
      <c r="G133" s="17"/>
      <c r="H133" s="14"/>
      <c r="I133" s="17"/>
      <c r="J133" s="15"/>
      <c r="K133" s="15"/>
      <c r="L133" s="15"/>
      <c r="M133" s="9">
        <f>IF($A133="","",IF(LEFT($B133,5)="LEAPS",$D133,$C133)*100*$E133)</f>
      </c>
      <c r="N133" s="10">
        <f>IF(OR($A133="",ISNUMBER(MATCH(LOWER($H133),{"open",""},0))),"",IF(LEFT($B133,5)="LEAPS",-1,1)*($D133-IF(ISNUMBER(MATCH(LOWER($H133),{"closed"},0)),$J133,0))*100*$E133-$K133-$L133)</f>
      </c>
      <c r="O133" s="11">
        <f>IF(OR($A133="",$F133=""),"",MAX(1,IF(ISNUMBER(MATCH(LOWER($H133),{"open",""},0)),MIN(TODAY(),$G133),IF($I133="",$G133,$I133))-$F133))</f>
      </c>
      <c r="P133" s="12">
        <f>IF(OR($N133="",$M133="",$M133=0),"",$N133/$M133)</f>
      </c>
      <c r="Q133" s="12">
        <f>IF(OR($P133="",$O133=""),"",$P133*365/$O133)</f>
      </c>
      <c r="R133">
        <f>IF($N133="",0,$M133*$O133)</f>
      </c>
      <c r="S133">
        <f>IF(OR($A133="",LEFT($B133,5)="LEAPS"),0,$D133*100*$E133)</f>
      </c>
    </row>
    <row r="134" spans="1:19" x14ac:dyDescent="0.25">
      <c r="A134" s="13"/>
      <c r="B134" s="14"/>
      <c r="C134" s="15"/>
      <c r="D134" s="15"/>
      <c r="E134" s="16"/>
      <c r="F134" s="17"/>
      <c r="G134" s="17"/>
      <c r="H134" s="14"/>
      <c r="I134" s="17"/>
      <c r="J134" s="15"/>
      <c r="K134" s="15"/>
      <c r="L134" s="15"/>
      <c r="M134" s="9">
        <f>IF($A134="","",IF(LEFT($B134,5)="LEAPS",$D134,$C134)*100*$E134)</f>
      </c>
      <c r="N134" s="10">
        <f>IF(OR($A134="",ISNUMBER(MATCH(LOWER($H134),{"open",""},0))),"",IF(LEFT($B134,5)="LEAPS",-1,1)*($D134-IF(ISNUMBER(MATCH(LOWER($H134),{"closed"},0)),$J134,0))*100*$E134-$K134-$L134)</f>
      </c>
      <c r="O134" s="11">
        <f>IF(OR($A134="",$F134=""),"",MAX(1,IF(ISNUMBER(MATCH(LOWER($H134),{"open",""},0)),MIN(TODAY(),$G134),IF($I134="",$G134,$I134))-$F134))</f>
      </c>
      <c r="P134" s="12">
        <f>IF(OR($N134="",$M134="",$M134=0),"",$N134/$M134)</f>
      </c>
      <c r="Q134" s="12">
        <f>IF(OR($P134="",$O134=""),"",$P134*365/$O134)</f>
      </c>
      <c r="R134">
        <f>IF($N134="",0,$M134*$O134)</f>
      </c>
      <c r="S134">
        <f>IF(OR($A134="",LEFT($B134,5)="LEAPS"),0,$D134*100*$E134)</f>
      </c>
    </row>
    <row r="135" spans="1:19" x14ac:dyDescent="0.25">
      <c r="A135" s="13"/>
      <c r="B135" s="14"/>
      <c r="C135" s="15"/>
      <c r="D135" s="15"/>
      <c r="E135" s="16"/>
      <c r="F135" s="17"/>
      <c r="G135" s="17"/>
      <c r="H135" s="14"/>
      <c r="I135" s="17"/>
      <c r="J135" s="15"/>
      <c r="K135" s="15"/>
      <c r="L135" s="15"/>
      <c r="M135" s="9">
        <f>IF($A135="","",IF(LEFT($B135,5)="LEAPS",$D135,$C135)*100*$E135)</f>
      </c>
      <c r="N135" s="10">
        <f>IF(OR($A135="",ISNUMBER(MATCH(LOWER($H135),{"open",""},0))),"",IF(LEFT($B135,5)="LEAPS",-1,1)*($D135-IF(ISNUMBER(MATCH(LOWER($H135),{"closed"},0)),$J135,0))*100*$E135-$K135-$L135)</f>
      </c>
      <c r="O135" s="11">
        <f>IF(OR($A135="",$F135=""),"",MAX(1,IF(ISNUMBER(MATCH(LOWER($H135),{"open",""},0)),MIN(TODAY(),$G135),IF($I135="",$G135,$I135))-$F135))</f>
      </c>
      <c r="P135" s="12">
        <f>IF(OR($N135="",$M135="",$M135=0),"",$N135/$M135)</f>
      </c>
      <c r="Q135" s="12">
        <f>IF(OR($P135="",$O135=""),"",$P135*365/$O135)</f>
      </c>
      <c r="R135">
        <f>IF($N135="",0,$M135*$O135)</f>
      </c>
      <c r="S135">
        <f>IF(OR($A135="",LEFT($B135,5)="LEAPS"),0,$D135*100*$E135)</f>
      </c>
    </row>
    <row r="136" spans="1:19" x14ac:dyDescent="0.25">
      <c r="A136" s="13"/>
      <c r="B136" s="14"/>
      <c r="C136" s="15"/>
      <c r="D136" s="15"/>
      <c r="E136" s="16"/>
      <c r="F136" s="17"/>
      <c r="G136" s="17"/>
      <c r="H136" s="14"/>
      <c r="I136" s="17"/>
      <c r="J136" s="15"/>
      <c r="K136" s="15"/>
      <c r="L136" s="15"/>
      <c r="M136" s="9">
        <f>IF($A136="","",IF(LEFT($B136,5)="LEAPS",$D136,$C136)*100*$E136)</f>
      </c>
      <c r="N136" s="10">
        <f>IF(OR($A136="",ISNUMBER(MATCH(LOWER($H136),{"open",""},0))),"",IF(LEFT($B136,5)="LEAPS",-1,1)*($D136-IF(ISNUMBER(MATCH(LOWER($H136),{"closed"},0)),$J136,0))*100*$E136-$K136-$L136)</f>
      </c>
      <c r="O136" s="11">
        <f>IF(OR($A136="",$F136=""),"",MAX(1,IF(ISNUMBER(MATCH(LOWER($H136),{"open",""},0)),MIN(TODAY(),$G136),IF($I136="",$G136,$I136))-$F136))</f>
      </c>
      <c r="P136" s="12">
        <f>IF(OR($N136="",$M136="",$M136=0),"",$N136/$M136)</f>
      </c>
      <c r="Q136" s="12">
        <f>IF(OR($P136="",$O136=""),"",$P136*365/$O136)</f>
      </c>
      <c r="R136">
        <f>IF($N136="",0,$M136*$O136)</f>
      </c>
      <c r="S136">
        <f>IF(OR($A136="",LEFT($B136,5)="LEAPS"),0,$D136*100*$E136)</f>
      </c>
    </row>
    <row r="137" spans="1:19" x14ac:dyDescent="0.25">
      <c r="A137" s="13"/>
      <c r="B137" s="14"/>
      <c r="C137" s="15"/>
      <c r="D137" s="15"/>
      <c r="E137" s="16"/>
      <c r="F137" s="17"/>
      <c r="G137" s="17"/>
      <c r="H137" s="14"/>
      <c r="I137" s="17"/>
      <c r="J137" s="15"/>
      <c r="K137" s="15"/>
      <c r="L137" s="15"/>
      <c r="M137" s="9">
        <f>IF($A137="","",IF(LEFT($B137,5)="LEAPS",$D137,$C137)*100*$E137)</f>
      </c>
      <c r="N137" s="10">
        <f>IF(OR($A137="",ISNUMBER(MATCH(LOWER($H137),{"open",""},0))),"",IF(LEFT($B137,5)="LEAPS",-1,1)*($D137-IF(ISNUMBER(MATCH(LOWER($H137),{"closed"},0)),$J137,0))*100*$E137-$K137-$L137)</f>
      </c>
      <c r="O137" s="11">
        <f>IF(OR($A137="",$F137=""),"",MAX(1,IF(ISNUMBER(MATCH(LOWER($H137),{"open",""},0)),MIN(TODAY(),$G137),IF($I137="",$G137,$I137))-$F137))</f>
      </c>
      <c r="P137" s="12">
        <f>IF(OR($N137="",$M137="",$M137=0),"",$N137/$M137)</f>
      </c>
      <c r="Q137" s="12">
        <f>IF(OR($P137="",$O137=""),"",$P137*365/$O137)</f>
      </c>
      <c r="R137">
        <f>IF($N137="",0,$M137*$O137)</f>
      </c>
      <c r="S137">
        <f>IF(OR($A137="",LEFT($B137,5)="LEAPS"),0,$D137*100*$E137)</f>
      </c>
    </row>
    <row r="138" spans="1:19" x14ac:dyDescent="0.25">
      <c r="A138" s="13"/>
      <c r="B138" s="14"/>
      <c r="C138" s="15"/>
      <c r="D138" s="15"/>
      <c r="E138" s="16"/>
      <c r="F138" s="17"/>
      <c r="G138" s="17"/>
      <c r="H138" s="14"/>
      <c r="I138" s="17"/>
      <c r="J138" s="15"/>
      <c r="K138" s="15"/>
      <c r="L138" s="15"/>
      <c r="M138" s="9">
        <f>IF($A138="","",IF(LEFT($B138,5)="LEAPS",$D138,$C138)*100*$E138)</f>
      </c>
      <c r="N138" s="10">
        <f>IF(OR($A138="",ISNUMBER(MATCH(LOWER($H138),{"open",""},0))),"",IF(LEFT($B138,5)="LEAPS",-1,1)*($D138-IF(ISNUMBER(MATCH(LOWER($H138),{"closed"},0)),$J138,0))*100*$E138-$K138-$L138)</f>
      </c>
      <c r="O138" s="11">
        <f>IF(OR($A138="",$F138=""),"",MAX(1,IF(ISNUMBER(MATCH(LOWER($H138),{"open",""},0)),MIN(TODAY(),$G138),IF($I138="",$G138,$I138))-$F138))</f>
      </c>
      <c r="P138" s="12">
        <f>IF(OR($N138="",$M138="",$M138=0),"",$N138/$M138)</f>
      </c>
      <c r="Q138" s="12">
        <f>IF(OR($P138="",$O138=""),"",$P138*365/$O138)</f>
      </c>
      <c r="R138">
        <f>IF($N138="",0,$M138*$O138)</f>
      </c>
      <c r="S138">
        <f>IF(OR($A138="",LEFT($B138,5)="LEAPS"),0,$D138*100*$E138)</f>
      </c>
    </row>
    <row r="139" spans="1:19" x14ac:dyDescent="0.25">
      <c r="A139" s="13"/>
      <c r="B139" s="14"/>
      <c r="C139" s="15"/>
      <c r="D139" s="15"/>
      <c r="E139" s="16"/>
      <c r="F139" s="17"/>
      <c r="G139" s="17"/>
      <c r="H139" s="14"/>
      <c r="I139" s="17"/>
      <c r="J139" s="15"/>
      <c r="K139" s="15"/>
      <c r="L139" s="15"/>
      <c r="M139" s="9">
        <f>IF($A139="","",IF(LEFT($B139,5)="LEAPS",$D139,$C139)*100*$E139)</f>
      </c>
      <c r="N139" s="10">
        <f>IF(OR($A139="",ISNUMBER(MATCH(LOWER($H139),{"open",""},0))),"",IF(LEFT($B139,5)="LEAPS",-1,1)*($D139-IF(ISNUMBER(MATCH(LOWER($H139),{"closed"},0)),$J139,0))*100*$E139-$K139-$L139)</f>
      </c>
      <c r="O139" s="11">
        <f>IF(OR($A139="",$F139=""),"",MAX(1,IF(ISNUMBER(MATCH(LOWER($H139),{"open",""},0)),MIN(TODAY(),$G139),IF($I139="",$G139,$I139))-$F139))</f>
      </c>
      <c r="P139" s="12">
        <f>IF(OR($N139="",$M139="",$M139=0),"",$N139/$M139)</f>
      </c>
      <c r="Q139" s="12">
        <f>IF(OR($P139="",$O139=""),"",$P139*365/$O139)</f>
      </c>
      <c r="R139">
        <f>IF($N139="",0,$M139*$O139)</f>
      </c>
      <c r="S139">
        <f>IF(OR($A139="",LEFT($B139,5)="LEAPS"),0,$D139*100*$E139)</f>
      </c>
    </row>
    <row r="140" spans="1:19" x14ac:dyDescent="0.25">
      <c r="A140" s="13"/>
      <c r="B140" s="14"/>
      <c r="C140" s="15"/>
      <c r="D140" s="15"/>
      <c r="E140" s="16"/>
      <c r="F140" s="17"/>
      <c r="G140" s="17"/>
      <c r="H140" s="14"/>
      <c r="I140" s="17"/>
      <c r="J140" s="15"/>
      <c r="K140" s="15"/>
      <c r="L140" s="15"/>
      <c r="M140" s="9">
        <f>IF($A140="","",IF(LEFT($B140,5)="LEAPS",$D140,$C140)*100*$E140)</f>
      </c>
      <c r="N140" s="10">
        <f>IF(OR($A140="",ISNUMBER(MATCH(LOWER($H140),{"open",""},0))),"",IF(LEFT($B140,5)="LEAPS",-1,1)*($D140-IF(ISNUMBER(MATCH(LOWER($H140),{"closed"},0)),$J140,0))*100*$E140-$K140-$L140)</f>
      </c>
      <c r="O140" s="11">
        <f>IF(OR($A140="",$F140=""),"",MAX(1,IF(ISNUMBER(MATCH(LOWER($H140),{"open",""},0)),MIN(TODAY(),$G140),IF($I140="",$G140,$I140))-$F140))</f>
      </c>
      <c r="P140" s="12">
        <f>IF(OR($N140="",$M140="",$M140=0),"",$N140/$M140)</f>
      </c>
      <c r="Q140" s="12">
        <f>IF(OR($P140="",$O140=""),"",$P140*365/$O140)</f>
      </c>
      <c r="R140">
        <f>IF($N140="",0,$M140*$O140)</f>
      </c>
      <c r="S140">
        <f>IF(OR($A140="",LEFT($B140,5)="LEAPS"),0,$D140*100*$E140)</f>
      </c>
    </row>
    <row r="141" spans="1:19" x14ac:dyDescent="0.25">
      <c r="A141" s="13"/>
      <c r="B141" s="14"/>
      <c r="C141" s="15"/>
      <c r="D141" s="15"/>
      <c r="E141" s="16"/>
      <c r="F141" s="17"/>
      <c r="G141" s="17"/>
      <c r="H141" s="14"/>
      <c r="I141" s="17"/>
      <c r="J141" s="15"/>
      <c r="K141" s="15"/>
      <c r="L141" s="15"/>
      <c r="M141" s="9">
        <f>IF($A141="","",IF(LEFT($B141,5)="LEAPS",$D141,$C141)*100*$E141)</f>
      </c>
      <c r="N141" s="10">
        <f>IF(OR($A141="",ISNUMBER(MATCH(LOWER($H141),{"open",""},0))),"",IF(LEFT($B141,5)="LEAPS",-1,1)*($D141-IF(ISNUMBER(MATCH(LOWER($H141),{"closed"},0)),$J141,0))*100*$E141-$K141-$L141)</f>
      </c>
      <c r="O141" s="11">
        <f>IF(OR($A141="",$F141=""),"",MAX(1,IF(ISNUMBER(MATCH(LOWER($H141),{"open",""},0)),MIN(TODAY(),$G141),IF($I141="",$G141,$I141))-$F141))</f>
      </c>
      <c r="P141" s="12">
        <f>IF(OR($N141="",$M141="",$M141=0),"",$N141/$M141)</f>
      </c>
      <c r="Q141" s="12">
        <f>IF(OR($P141="",$O141=""),"",$P141*365/$O141)</f>
      </c>
      <c r="R141">
        <f>IF($N141="",0,$M141*$O141)</f>
      </c>
      <c r="S141">
        <f>IF(OR($A141="",LEFT($B141,5)="LEAPS"),0,$D141*100*$E141)</f>
      </c>
    </row>
    <row r="142" spans="1:19" x14ac:dyDescent="0.25">
      <c r="A142" s="13"/>
      <c r="B142" s="14"/>
      <c r="C142" s="15"/>
      <c r="D142" s="15"/>
      <c r="E142" s="16"/>
      <c r="F142" s="17"/>
      <c r="G142" s="17"/>
      <c r="H142" s="14"/>
      <c r="I142" s="17"/>
      <c r="J142" s="15"/>
      <c r="K142" s="15"/>
      <c r="L142" s="15"/>
      <c r="M142" s="9">
        <f>IF($A142="","",IF(LEFT($B142,5)="LEAPS",$D142,$C142)*100*$E142)</f>
      </c>
      <c r="N142" s="10">
        <f>IF(OR($A142="",ISNUMBER(MATCH(LOWER($H142),{"open",""},0))),"",IF(LEFT($B142,5)="LEAPS",-1,1)*($D142-IF(ISNUMBER(MATCH(LOWER($H142),{"closed"},0)),$J142,0))*100*$E142-$K142-$L142)</f>
      </c>
      <c r="O142" s="11">
        <f>IF(OR($A142="",$F142=""),"",MAX(1,IF(ISNUMBER(MATCH(LOWER($H142),{"open",""},0)),MIN(TODAY(),$G142),IF($I142="",$G142,$I142))-$F142))</f>
      </c>
      <c r="P142" s="12">
        <f>IF(OR($N142="",$M142="",$M142=0),"",$N142/$M142)</f>
      </c>
      <c r="Q142" s="12">
        <f>IF(OR($P142="",$O142=""),"",$P142*365/$O142)</f>
      </c>
      <c r="R142">
        <f>IF($N142="",0,$M142*$O142)</f>
      </c>
      <c r="S142">
        <f>IF(OR($A142="",LEFT($B142,5)="LEAPS"),0,$D142*100*$E142)</f>
      </c>
    </row>
    <row r="143" spans="1:19" x14ac:dyDescent="0.25">
      <c r="A143" s="13"/>
      <c r="B143" s="14"/>
      <c r="C143" s="15"/>
      <c r="D143" s="15"/>
      <c r="E143" s="16"/>
      <c r="F143" s="17"/>
      <c r="G143" s="17"/>
      <c r="H143" s="14"/>
      <c r="I143" s="17"/>
      <c r="J143" s="15"/>
      <c r="K143" s="15"/>
      <c r="L143" s="15"/>
      <c r="M143" s="9">
        <f>IF($A143="","",IF(LEFT($B143,5)="LEAPS",$D143,$C143)*100*$E143)</f>
      </c>
      <c r="N143" s="10">
        <f>IF(OR($A143="",ISNUMBER(MATCH(LOWER($H143),{"open",""},0))),"",IF(LEFT($B143,5)="LEAPS",-1,1)*($D143-IF(ISNUMBER(MATCH(LOWER($H143),{"closed"},0)),$J143,0))*100*$E143-$K143-$L143)</f>
      </c>
      <c r="O143" s="11">
        <f>IF(OR($A143="",$F143=""),"",MAX(1,IF(ISNUMBER(MATCH(LOWER($H143),{"open",""},0)),MIN(TODAY(),$G143),IF($I143="",$G143,$I143))-$F143))</f>
      </c>
      <c r="P143" s="12">
        <f>IF(OR($N143="",$M143="",$M143=0),"",$N143/$M143)</f>
      </c>
      <c r="Q143" s="12">
        <f>IF(OR($P143="",$O143=""),"",$P143*365/$O143)</f>
      </c>
      <c r="R143">
        <f>IF($N143="",0,$M143*$O143)</f>
      </c>
      <c r="S143">
        <f>IF(OR($A143="",LEFT($B143,5)="LEAPS"),0,$D143*100*$E143)</f>
      </c>
    </row>
    <row r="144" spans="1:19" x14ac:dyDescent="0.25">
      <c r="A144" s="13"/>
      <c r="B144" s="14"/>
      <c r="C144" s="15"/>
      <c r="D144" s="15"/>
      <c r="E144" s="16"/>
      <c r="F144" s="17"/>
      <c r="G144" s="17"/>
      <c r="H144" s="14"/>
      <c r="I144" s="17"/>
      <c r="J144" s="15"/>
      <c r="K144" s="15"/>
      <c r="L144" s="15"/>
      <c r="M144" s="9">
        <f>IF($A144="","",IF(LEFT($B144,5)="LEAPS",$D144,$C144)*100*$E144)</f>
      </c>
      <c r="N144" s="10">
        <f>IF(OR($A144="",ISNUMBER(MATCH(LOWER($H144),{"open",""},0))),"",IF(LEFT($B144,5)="LEAPS",-1,1)*($D144-IF(ISNUMBER(MATCH(LOWER($H144),{"closed"},0)),$J144,0))*100*$E144-$K144-$L144)</f>
      </c>
      <c r="O144" s="11">
        <f>IF(OR($A144="",$F144=""),"",MAX(1,IF(ISNUMBER(MATCH(LOWER($H144),{"open",""},0)),MIN(TODAY(),$G144),IF($I144="",$G144,$I144))-$F144))</f>
      </c>
      <c r="P144" s="12">
        <f>IF(OR($N144="",$M144="",$M144=0),"",$N144/$M144)</f>
      </c>
      <c r="Q144" s="12">
        <f>IF(OR($P144="",$O144=""),"",$P144*365/$O144)</f>
      </c>
      <c r="R144">
        <f>IF($N144="",0,$M144*$O144)</f>
      </c>
      <c r="S144">
        <f>IF(OR($A144="",LEFT($B144,5)="LEAPS"),0,$D144*100*$E144)</f>
      </c>
    </row>
    <row r="145" spans="1:19" x14ac:dyDescent="0.25">
      <c r="A145" s="13"/>
      <c r="B145" s="14"/>
      <c r="C145" s="15"/>
      <c r="D145" s="15"/>
      <c r="E145" s="16"/>
      <c r="F145" s="17"/>
      <c r="G145" s="17"/>
      <c r="H145" s="14"/>
      <c r="I145" s="17"/>
      <c r="J145" s="15"/>
      <c r="K145" s="15"/>
      <c r="L145" s="15"/>
      <c r="M145" s="9">
        <f>IF($A145="","",IF(LEFT($B145,5)="LEAPS",$D145,$C145)*100*$E145)</f>
      </c>
      <c r="N145" s="10">
        <f>IF(OR($A145="",ISNUMBER(MATCH(LOWER($H145),{"open",""},0))),"",IF(LEFT($B145,5)="LEAPS",-1,1)*($D145-IF(ISNUMBER(MATCH(LOWER($H145),{"closed"},0)),$J145,0))*100*$E145-$K145-$L145)</f>
      </c>
      <c r="O145" s="11">
        <f>IF(OR($A145="",$F145=""),"",MAX(1,IF(ISNUMBER(MATCH(LOWER($H145),{"open",""},0)),MIN(TODAY(),$G145),IF($I145="",$G145,$I145))-$F145))</f>
      </c>
      <c r="P145" s="12">
        <f>IF(OR($N145="",$M145="",$M145=0),"",$N145/$M145)</f>
      </c>
      <c r="Q145" s="12">
        <f>IF(OR($P145="",$O145=""),"",$P145*365/$O145)</f>
      </c>
      <c r="R145">
        <f>IF($N145="",0,$M145*$O145)</f>
      </c>
      <c r="S145">
        <f>IF(OR($A145="",LEFT($B145,5)="LEAPS"),0,$D145*100*$E145)</f>
      </c>
    </row>
    <row r="146" spans="1:19" x14ac:dyDescent="0.25">
      <c r="A146" s="13"/>
      <c r="B146" s="14"/>
      <c r="C146" s="15"/>
      <c r="D146" s="15"/>
      <c r="E146" s="16"/>
      <c r="F146" s="17"/>
      <c r="G146" s="17"/>
      <c r="H146" s="14"/>
      <c r="I146" s="17"/>
      <c r="J146" s="15"/>
      <c r="K146" s="15"/>
      <c r="L146" s="15"/>
      <c r="M146" s="9">
        <f>IF($A146="","",IF(LEFT($B146,5)="LEAPS",$D146,$C146)*100*$E146)</f>
      </c>
      <c r="N146" s="10">
        <f>IF(OR($A146="",ISNUMBER(MATCH(LOWER($H146),{"open",""},0))),"",IF(LEFT($B146,5)="LEAPS",-1,1)*($D146-IF(ISNUMBER(MATCH(LOWER($H146),{"closed"},0)),$J146,0))*100*$E146-$K146-$L146)</f>
      </c>
      <c r="O146" s="11">
        <f>IF(OR($A146="",$F146=""),"",MAX(1,IF(ISNUMBER(MATCH(LOWER($H146),{"open",""},0)),MIN(TODAY(),$G146),IF($I146="",$G146,$I146))-$F146))</f>
      </c>
      <c r="P146" s="12">
        <f>IF(OR($N146="",$M146="",$M146=0),"",$N146/$M146)</f>
      </c>
      <c r="Q146" s="12">
        <f>IF(OR($P146="",$O146=""),"",$P146*365/$O146)</f>
      </c>
      <c r="R146">
        <f>IF($N146="",0,$M146*$O146)</f>
      </c>
      <c r="S146">
        <f>IF(OR($A146="",LEFT($B146,5)="LEAPS"),0,$D146*100*$E146)</f>
      </c>
    </row>
    <row r="147" spans="1:19" x14ac:dyDescent="0.25">
      <c r="A147" s="13"/>
      <c r="B147" s="14"/>
      <c r="C147" s="15"/>
      <c r="D147" s="15"/>
      <c r="E147" s="16"/>
      <c r="F147" s="17"/>
      <c r="G147" s="17"/>
      <c r="H147" s="14"/>
      <c r="I147" s="17"/>
      <c r="J147" s="15"/>
      <c r="K147" s="15"/>
      <c r="L147" s="15"/>
      <c r="M147" s="9">
        <f>IF($A147="","",IF(LEFT($B147,5)="LEAPS",$D147,$C147)*100*$E147)</f>
      </c>
      <c r="N147" s="10">
        <f>IF(OR($A147="",ISNUMBER(MATCH(LOWER($H147),{"open",""},0))),"",IF(LEFT($B147,5)="LEAPS",-1,1)*($D147-IF(ISNUMBER(MATCH(LOWER($H147),{"closed"},0)),$J147,0))*100*$E147-$K147-$L147)</f>
      </c>
      <c r="O147" s="11">
        <f>IF(OR($A147="",$F147=""),"",MAX(1,IF(ISNUMBER(MATCH(LOWER($H147),{"open",""},0)),MIN(TODAY(),$G147),IF($I147="",$G147,$I147))-$F147))</f>
      </c>
      <c r="P147" s="12">
        <f>IF(OR($N147="",$M147="",$M147=0),"",$N147/$M147)</f>
      </c>
      <c r="Q147" s="12">
        <f>IF(OR($P147="",$O147=""),"",$P147*365/$O147)</f>
      </c>
      <c r="R147">
        <f>IF($N147="",0,$M147*$O147)</f>
      </c>
      <c r="S147">
        <f>IF(OR($A147="",LEFT($B147,5)="LEAPS"),0,$D147*100*$E147)</f>
      </c>
    </row>
    <row r="148" spans="1:19" x14ac:dyDescent="0.25">
      <c r="A148" s="13"/>
      <c r="B148" s="14"/>
      <c r="C148" s="15"/>
      <c r="D148" s="15"/>
      <c r="E148" s="16"/>
      <c r="F148" s="17"/>
      <c r="G148" s="17"/>
      <c r="H148" s="14"/>
      <c r="I148" s="17"/>
      <c r="J148" s="15"/>
      <c r="K148" s="15"/>
      <c r="L148" s="15"/>
      <c r="M148" s="9">
        <f>IF($A148="","",IF(LEFT($B148,5)="LEAPS",$D148,$C148)*100*$E148)</f>
      </c>
      <c r="N148" s="10">
        <f>IF(OR($A148="",ISNUMBER(MATCH(LOWER($H148),{"open",""},0))),"",IF(LEFT($B148,5)="LEAPS",-1,1)*($D148-IF(ISNUMBER(MATCH(LOWER($H148),{"closed"},0)),$J148,0))*100*$E148-$K148-$L148)</f>
      </c>
      <c r="O148" s="11">
        <f>IF(OR($A148="",$F148=""),"",MAX(1,IF(ISNUMBER(MATCH(LOWER($H148),{"open",""},0)),MIN(TODAY(),$G148),IF($I148="",$G148,$I148))-$F148))</f>
      </c>
      <c r="P148" s="12">
        <f>IF(OR($N148="",$M148="",$M148=0),"",$N148/$M148)</f>
      </c>
      <c r="Q148" s="12">
        <f>IF(OR($P148="",$O148=""),"",$P148*365/$O148)</f>
      </c>
      <c r="R148">
        <f>IF($N148="",0,$M148*$O148)</f>
      </c>
      <c r="S148">
        <f>IF(OR($A148="",LEFT($B148,5)="LEAPS"),0,$D148*100*$E148)</f>
      </c>
    </row>
    <row r="149" spans="1:19" x14ac:dyDescent="0.25">
      <c r="A149" s="13"/>
      <c r="B149" s="14"/>
      <c r="C149" s="15"/>
      <c r="D149" s="15"/>
      <c r="E149" s="16"/>
      <c r="F149" s="17"/>
      <c r="G149" s="17"/>
      <c r="H149" s="14"/>
      <c r="I149" s="17"/>
      <c r="J149" s="15"/>
      <c r="K149" s="15"/>
      <c r="L149" s="15"/>
      <c r="M149" s="9">
        <f>IF($A149="","",IF(LEFT($B149,5)="LEAPS",$D149,$C149)*100*$E149)</f>
      </c>
      <c r="N149" s="10">
        <f>IF(OR($A149="",ISNUMBER(MATCH(LOWER($H149),{"open",""},0))),"",IF(LEFT($B149,5)="LEAPS",-1,1)*($D149-IF(ISNUMBER(MATCH(LOWER($H149),{"closed"},0)),$J149,0))*100*$E149-$K149-$L149)</f>
      </c>
      <c r="O149" s="11">
        <f>IF(OR($A149="",$F149=""),"",MAX(1,IF(ISNUMBER(MATCH(LOWER($H149),{"open",""},0)),MIN(TODAY(),$G149),IF($I149="",$G149,$I149))-$F149))</f>
      </c>
      <c r="P149" s="12">
        <f>IF(OR($N149="",$M149="",$M149=0),"",$N149/$M149)</f>
      </c>
      <c r="Q149" s="12">
        <f>IF(OR($P149="",$O149=""),"",$P149*365/$O149)</f>
      </c>
      <c r="R149">
        <f>IF($N149="",0,$M149*$O149)</f>
      </c>
      <c r="S149">
        <f>IF(OR($A149="",LEFT($B149,5)="LEAPS"),0,$D149*100*$E149)</f>
      </c>
    </row>
    <row r="150" spans="1:19" x14ac:dyDescent="0.25">
      <c r="A150" s="13"/>
      <c r="B150" s="14"/>
      <c r="C150" s="15"/>
      <c r="D150" s="15"/>
      <c r="E150" s="16"/>
      <c r="F150" s="17"/>
      <c r="G150" s="17"/>
      <c r="H150" s="14"/>
      <c r="I150" s="17"/>
      <c r="J150" s="15"/>
      <c r="K150" s="15"/>
      <c r="L150" s="15"/>
      <c r="M150" s="9">
        <f>IF($A150="","",IF(LEFT($B150,5)="LEAPS",$D150,$C150)*100*$E150)</f>
      </c>
      <c r="N150" s="10">
        <f>IF(OR($A150="",ISNUMBER(MATCH(LOWER($H150),{"open",""},0))),"",IF(LEFT($B150,5)="LEAPS",-1,1)*($D150-IF(ISNUMBER(MATCH(LOWER($H150),{"closed"},0)),$J150,0))*100*$E150-$K150-$L150)</f>
      </c>
      <c r="O150" s="11">
        <f>IF(OR($A150="",$F150=""),"",MAX(1,IF(ISNUMBER(MATCH(LOWER($H150),{"open",""},0)),MIN(TODAY(),$G150),IF($I150="",$G150,$I150))-$F150))</f>
      </c>
      <c r="P150" s="12">
        <f>IF(OR($N150="",$M150="",$M150=0),"",$N150/$M150)</f>
      </c>
      <c r="Q150" s="12">
        <f>IF(OR($P150="",$O150=""),"",$P150*365/$O150)</f>
      </c>
      <c r="R150">
        <f>IF($N150="",0,$M150*$O150)</f>
      </c>
      <c r="S150">
        <f>IF(OR($A150="",LEFT($B150,5)="LEAPS"),0,$D150*100*$E150)</f>
      </c>
    </row>
    <row r="151" spans="1:19" x14ac:dyDescent="0.25">
      <c r="A151" s="13"/>
      <c r="B151" s="14"/>
      <c r="C151" s="15"/>
      <c r="D151" s="15"/>
      <c r="E151" s="16"/>
      <c r="F151" s="17"/>
      <c r="G151" s="17"/>
      <c r="H151" s="14"/>
      <c r="I151" s="17"/>
      <c r="J151" s="15"/>
      <c r="K151" s="15"/>
      <c r="L151" s="15"/>
      <c r="M151" s="9">
        <f>IF($A151="","",IF(LEFT($B151,5)="LEAPS",$D151,$C151)*100*$E151)</f>
      </c>
      <c r="N151" s="10">
        <f>IF(OR($A151="",ISNUMBER(MATCH(LOWER($H151),{"open",""},0))),"",IF(LEFT($B151,5)="LEAPS",-1,1)*($D151-IF(ISNUMBER(MATCH(LOWER($H151),{"closed"},0)),$J151,0))*100*$E151-$K151-$L151)</f>
      </c>
      <c r="O151" s="11">
        <f>IF(OR($A151="",$F151=""),"",MAX(1,IF(ISNUMBER(MATCH(LOWER($H151),{"open",""},0)),MIN(TODAY(),$G151),IF($I151="",$G151,$I151))-$F151))</f>
      </c>
      <c r="P151" s="12">
        <f>IF(OR($N151="",$M151="",$M151=0),"",$N151/$M151)</f>
      </c>
      <c r="Q151" s="12">
        <f>IF(OR($P151="",$O151=""),"",$P151*365/$O151)</f>
      </c>
      <c r="R151">
        <f>IF($N151="",0,$M151*$O151)</f>
      </c>
      <c r="S151">
        <f>IF(OR($A151="",LEFT($B151,5)="LEAPS"),0,$D151*100*$E151)</f>
      </c>
    </row>
    <row r="152" spans="1:19" x14ac:dyDescent="0.25">
      <c r="A152" s="13"/>
      <c r="B152" s="14"/>
      <c r="C152" s="15"/>
      <c r="D152" s="15"/>
      <c r="E152" s="16"/>
      <c r="F152" s="17"/>
      <c r="G152" s="17"/>
      <c r="H152" s="14"/>
      <c r="I152" s="17"/>
      <c r="J152" s="15"/>
      <c r="K152" s="15"/>
      <c r="L152" s="15"/>
      <c r="M152" s="9">
        <f>IF($A152="","",IF(LEFT($B152,5)="LEAPS",$D152,$C152)*100*$E152)</f>
      </c>
      <c r="N152" s="10">
        <f>IF(OR($A152="",ISNUMBER(MATCH(LOWER($H152),{"open",""},0))),"",IF(LEFT($B152,5)="LEAPS",-1,1)*($D152-IF(ISNUMBER(MATCH(LOWER($H152),{"closed"},0)),$J152,0))*100*$E152-$K152-$L152)</f>
      </c>
      <c r="O152" s="11">
        <f>IF(OR($A152="",$F152=""),"",MAX(1,IF(ISNUMBER(MATCH(LOWER($H152),{"open",""},0)),MIN(TODAY(),$G152),IF($I152="",$G152,$I152))-$F152))</f>
      </c>
      <c r="P152" s="12">
        <f>IF(OR($N152="",$M152="",$M152=0),"",$N152/$M152)</f>
      </c>
      <c r="Q152" s="12">
        <f>IF(OR($P152="",$O152=""),"",$P152*365/$O152)</f>
      </c>
      <c r="R152">
        <f>IF($N152="",0,$M152*$O152)</f>
      </c>
      <c r="S152">
        <f>IF(OR($A152="",LEFT($B152,5)="LEAPS"),0,$D152*100*$E152)</f>
      </c>
    </row>
    <row r="153" spans="1:19" x14ac:dyDescent="0.25">
      <c r="A153" s="13"/>
      <c r="B153" s="14"/>
      <c r="C153" s="15"/>
      <c r="D153" s="15"/>
      <c r="E153" s="16"/>
      <c r="F153" s="17"/>
      <c r="G153" s="17"/>
      <c r="H153" s="14"/>
      <c r="I153" s="17"/>
      <c r="J153" s="15"/>
      <c r="K153" s="15"/>
      <c r="L153" s="15"/>
      <c r="M153" s="9">
        <f>IF($A153="","",IF(LEFT($B153,5)="LEAPS",$D153,$C153)*100*$E153)</f>
      </c>
      <c r="N153" s="10">
        <f>IF(OR($A153="",ISNUMBER(MATCH(LOWER($H153),{"open",""},0))),"",IF(LEFT($B153,5)="LEAPS",-1,1)*($D153-IF(ISNUMBER(MATCH(LOWER($H153),{"closed"},0)),$J153,0))*100*$E153-$K153-$L153)</f>
      </c>
      <c r="O153" s="11">
        <f>IF(OR($A153="",$F153=""),"",MAX(1,IF(ISNUMBER(MATCH(LOWER($H153),{"open",""},0)),MIN(TODAY(),$G153),IF($I153="",$G153,$I153))-$F153))</f>
      </c>
      <c r="P153" s="12">
        <f>IF(OR($N153="",$M153="",$M153=0),"",$N153/$M153)</f>
      </c>
      <c r="Q153" s="12">
        <f>IF(OR($P153="",$O153=""),"",$P153*365/$O153)</f>
      </c>
      <c r="R153">
        <f>IF($N153="",0,$M153*$O153)</f>
      </c>
      <c r="S153">
        <f>IF(OR($A153="",LEFT($B153,5)="LEAPS"),0,$D153*100*$E153)</f>
      </c>
    </row>
    <row r="154" spans="1:19" x14ac:dyDescent="0.25">
      <c r="A154" s="13"/>
      <c r="B154" s="14"/>
      <c r="C154" s="15"/>
      <c r="D154" s="15"/>
      <c r="E154" s="16"/>
      <c r="F154" s="17"/>
      <c r="G154" s="17"/>
      <c r="H154" s="14"/>
      <c r="I154" s="17"/>
      <c r="J154" s="15"/>
      <c r="K154" s="15"/>
      <c r="L154" s="15"/>
      <c r="M154" s="9">
        <f>IF($A154="","",IF(LEFT($B154,5)="LEAPS",$D154,$C154)*100*$E154)</f>
      </c>
      <c r="N154" s="10">
        <f>IF(OR($A154="",ISNUMBER(MATCH(LOWER($H154),{"open",""},0))),"",IF(LEFT($B154,5)="LEAPS",-1,1)*($D154-IF(ISNUMBER(MATCH(LOWER($H154),{"closed"},0)),$J154,0))*100*$E154-$K154-$L154)</f>
      </c>
      <c r="O154" s="11">
        <f>IF(OR($A154="",$F154=""),"",MAX(1,IF(ISNUMBER(MATCH(LOWER($H154),{"open",""},0)),MIN(TODAY(),$G154),IF($I154="",$G154,$I154))-$F154))</f>
      </c>
      <c r="P154" s="12">
        <f>IF(OR($N154="",$M154="",$M154=0),"",$N154/$M154)</f>
      </c>
      <c r="Q154" s="12">
        <f>IF(OR($P154="",$O154=""),"",$P154*365/$O154)</f>
      </c>
      <c r="R154">
        <f>IF($N154="",0,$M154*$O154)</f>
      </c>
      <c r="S154">
        <f>IF(OR($A154="",LEFT($B154,5)="LEAPS"),0,$D154*100*$E154)</f>
      </c>
    </row>
    <row r="155" spans="1:19" x14ac:dyDescent="0.25">
      <c r="A155" s="13"/>
      <c r="B155" s="14"/>
      <c r="C155" s="15"/>
      <c r="D155" s="15"/>
      <c r="E155" s="16"/>
      <c r="F155" s="17"/>
      <c r="G155" s="17"/>
      <c r="H155" s="14"/>
      <c r="I155" s="17"/>
      <c r="J155" s="15"/>
      <c r="K155" s="15"/>
      <c r="L155" s="15"/>
      <c r="M155" s="9">
        <f>IF($A155="","",IF(LEFT($B155,5)="LEAPS",$D155,$C155)*100*$E155)</f>
      </c>
      <c r="N155" s="10">
        <f>IF(OR($A155="",ISNUMBER(MATCH(LOWER($H155),{"open",""},0))),"",IF(LEFT($B155,5)="LEAPS",-1,1)*($D155-IF(ISNUMBER(MATCH(LOWER($H155),{"closed"},0)),$J155,0))*100*$E155-$K155-$L155)</f>
      </c>
      <c r="O155" s="11">
        <f>IF(OR($A155="",$F155=""),"",MAX(1,IF(ISNUMBER(MATCH(LOWER($H155),{"open",""},0)),MIN(TODAY(),$G155),IF($I155="",$G155,$I155))-$F155))</f>
      </c>
      <c r="P155" s="12">
        <f>IF(OR($N155="",$M155="",$M155=0),"",$N155/$M155)</f>
      </c>
      <c r="Q155" s="12">
        <f>IF(OR($P155="",$O155=""),"",$P155*365/$O155)</f>
      </c>
      <c r="R155">
        <f>IF($N155="",0,$M155*$O155)</f>
      </c>
      <c r="S155">
        <f>IF(OR($A155="",LEFT($B155,5)="LEAPS"),0,$D155*100*$E155)</f>
      </c>
    </row>
    <row r="156" spans="1:19" x14ac:dyDescent="0.25">
      <c r="A156" s="13"/>
      <c r="B156" s="14"/>
      <c r="C156" s="15"/>
      <c r="D156" s="15"/>
      <c r="E156" s="16"/>
      <c r="F156" s="17"/>
      <c r="G156" s="17"/>
      <c r="H156" s="14"/>
      <c r="I156" s="17"/>
      <c r="J156" s="15"/>
      <c r="K156" s="15"/>
      <c r="L156" s="15"/>
      <c r="M156" s="9">
        <f>IF($A156="","",IF(LEFT($B156,5)="LEAPS",$D156,$C156)*100*$E156)</f>
      </c>
      <c r="N156" s="10">
        <f>IF(OR($A156="",ISNUMBER(MATCH(LOWER($H156),{"open",""},0))),"",IF(LEFT($B156,5)="LEAPS",-1,1)*($D156-IF(ISNUMBER(MATCH(LOWER($H156),{"closed"},0)),$J156,0))*100*$E156-$K156-$L156)</f>
      </c>
      <c r="O156" s="11">
        <f>IF(OR($A156="",$F156=""),"",MAX(1,IF(ISNUMBER(MATCH(LOWER($H156),{"open",""},0)),MIN(TODAY(),$G156),IF($I156="",$G156,$I156))-$F156))</f>
      </c>
      <c r="P156" s="12">
        <f>IF(OR($N156="",$M156="",$M156=0),"",$N156/$M156)</f>
      </c>
      <c r="Q156" s="12">
        <f>IF(OR($P156="",$O156=""),"",$P156*365/$O156)</f>
      </c>
      <c r="R156">
        <f>IF($N156="",0,$M156*$O156)</f>
      </c>
      <c r="S156">
        <f>IF(OR($A156="",LEFT($B156,5)="LEAPS"),0,$D156*100*$E156)</f>
      </c>
    </row>
    <row r="157" spans="1:19" x14ac:dyDescent="0.25">
      <c r="A157" s="13"/>
      <c r="B157" s="14"/>
      <c r="C157" s="15"/>
      <c r="D157" s="15"/>
      <c r="E157" s="16"/>
      <c r="F157" s="17"/>
      <c r="G157" s="17"/>
      <c r="H157" s="14"/>
      <c r="I157" s="17"/>
      <c r="J157" s="15"/>
      <c r="K157" s="15"/>
      <c r="L157" s="15"/>
      <c r="M157" s="9">
        <f>IF($A157="","",IF(LEFT($B157,5)="LEAPS",$D157,$C157)*100*$E157)</f>
      </c>
      <c r="N157" s="10">
        <f>IF(OR($A157="",ISNUMBER(MATCH(LOWER($H157),{"open",""},0))),"",IF(LEFT($B157,5)="LEAPS",-1,1)*($D157-IF(ISNUMBER(MATCH(LOWER($H157),{"closed"},0)),$J157,0))*100*$E157-$K157-$L157)</f>
      </c>
      <c r="O157" s="11">
        <f>IF(OR($A157="",$F157=""),"",MAX(1,IF(ISNUMBER(MATCH(LOWER($H157),{"open",""},0)),MIN(TODAY(),$G157),IF($I157="",$G157,$I157))-$F157))</f>
      </c>
      <c r="P157" s="12">
        <f>IF(OR($N157="",$M157="",$M157=0),"",$N157/$M157)</f>
      </c>
      <c r="Q157" s="12">
        <f>IF(OR($P157="",$O157=""),"",$P157*365/$O157)</f>
      </c>
      <c r="R157">
        <f>IF($N157="",0,$M157*$O157)</f>
      </c>
      <c r="S157">
        <f>IF(OR($A157="",LEFT($B157,5)="LEAPS"),0,$D157*100*$E157)</f>
      </c>
    </row>
    <row r="158" spans="1:19" x14ac:dyDescent="0.25">
      <c r="A158" s="13"/>
      <c r="B158" s="14"/>
      <c r="C158" s="15"/>
      <c r="D158" s="15"/>
      <c r="E158" s="16"/>
      <c r="F158" s="17"/>
      <c r="G158" s="17"/>
      <c r="H158" s="14"/>
      <c r="I158" s="17"/>
      <c r="J158" s="15"/>
      <c r="K158" s="15"/>
      <c r="L158" s="15"/>
      <c r="M158" s="9">
        <f>IF($A158="","",IF(LEFT($B158,5)="LEAPS",$D158,$C158)*100*$E158)</f>
      </c>
      <c r="N158" s="10">
        <f>IF(OR($A158="",ISNUMBER(MATCH(LOWER($H158),{"open",""},0))),"",IF(LEFT($B158,5)="LEAPS",-1,1)*($D158-IF(ISNUMBER(MATCH(LOWER($H158),{"closed"},0)),$J158,0))*100*$E158-$K158-$L158)</f>
      </c>
      <c r="O158" s="11">
        <f>IF(OR($A158="",$F158=""),"",MAX(1,IF(ISNUMBER(MATCH(LOWER($H158),{"open",""},0)),MIN(TODAY(),$G158),IF($I158="",$G158,$I158))-$F158))</f>
      </c>
      <c r="P158" s="12">
        <f>IF(OR($N158="",$M158="",$M158=0),"",$N158/$M158)</f>
      </c>
      <c r="Q158" s="12">
        <f>IF(OR($P158="",$O158=""),"",$P158*365/$O158)</f>
      </c>
      <c r="R158">
        <f>IF($N158="",0,$M158*$O158)</f>
      </c>
      <c r="S158">
        <f>IF(OR($A158="",LEFT($B158,5)="LEAPS"),0,$D158*100*$E158)</f>
      </c>
    </row>
    <row r="159" spans="1:19" x14ac:dyDescent="0.25">
      <c r="A159" s="13"/>
      <c r="B159" s="14"/>
      <c r="C159" s="15"/>
      <c r="D159" s="15"/>
      <c r="E159" s="16"/>
      <c r="F159" s="17"/>
      <c r="G159" s="17"/>
      <c r="H159" s="14"/>
      <c r="I159" s="17"/>
      <c r="J159" s="15"/>
      <c r="K159" s="15"/>
      <c r="L159" s="15"/>
      <c r="M159" s="9">
        <f>IF($A159="","",IF(LEFT($B159,5)="LEAPS",$D159,$C159)*100*$E159)</f>
      </c>
      <c r="N159" s="10">
        <f>IF(OR($A159="",ISNUMBER(MATCH(LOWER($H159),{"open",""},0))),"",IF(LEFT($B159,5)="LEAPS",-1,1)*($D159-IF(ISNUMBER(MATCH(LOWER($H159),{"closed"},0)),$J159,0))*100*$E159-$K159-$L159)</f>
      </c>
      <c r="O159" s="11">
        <f>IF(OR($A159="",$F159=""),"",MAX(1,IF(ISNUMBER(MATCH(LOWER($H159),{"open",""},0)),MIN(TODAY(),$G159),IF($I159="",$G159,$I159))-$F159))</f>
      </c>
      <c r="P159" s="12">
        <f>IF(OR($N159="",$M159="",$M159=0),"",$N159/$M159)</f>
      </c>
      <c r="Q159" s="12">
        <f>IF(OR($P159="",$O159=""),"",$P159*365/$O159)</f>
      </c>
      <c r="R159">
        <f>IF($N159="",0,$M159*$O159)</f>
      </c>
      <c r="S159">
        <f>IF(OR($A159="",LEFT($B159,5)="LEAPS"),0,$D159*100*$E159)</f>
      </c>
    </row>
    <row r="160" spans="1:19" x14ac:dyDescent="0.25">
      <c r="A160" s="13"/>
      <c r="B160" s="14"/>
      <c r="C160" s="15"/>
      <c r="D160" s="15"/>
      <c r="E160" s="16"/>
      <c r="F160" s="17"/>
      <c r="G160" s="17"/>
      <c r="H160" s="14"/>
      <c r="I160" s="17"/>
      <c r="J160" s="15"/>
      <c r="K160" s="15"/>
      <c r="L160" s="15"/>
      <c r="M160" s="9">
        <f>IF($A160="","",IF(LEFT($B160,5)="LEAPS",$D160,$C160)*100*$E160)</f>
      </c>
      <c r="N160" s="10">
        <f>IF(OR($A160="",ISNUMBER(MATCH(LOWER($H160),{"open",""},0))),"",IF(LEFT($B160,5)="LEAPS",-1,1)*($D160-IF(ISNUMBER(MATCH(LOWER($H160),{"closed"},0)),$J160,0))*100*$E160-$K160-$L160)</f>
      </c>
      <c r="O160" s="11">
        <f>IF(OR($A160="",$F160=""),"",MAX(1,IF(ISNUMBER(MATCH(LOWER($H160),{"open",""},0)),MIN(TODAY(),$G160),IF($I160="",$G160,$I160))-$F160))</f>
      </c>
      <c r="P160" s="12">
        <f>IF(OR($N160="",$M160="",$M160=0),"",$N160/$M160)</f>
      </c>
      <c r="Q160" s="12">
        <f>IF(OR($P160="",$O160=""),"",$P160*365/$O160)</f>
      </c>
      <c r="R160">
        <f>IF($N160="",0,$M160*$O160)</f>
      </c>
      <c r="S160">
        <f>IF(OR($A160="",LEFT($B160,5)="LEAPS"),0,$D160*100*$E160)</f>
      </c>
    </row>
    <row r="161" spans="1:19" x14ac:dyDescent="0.25">
      <c r="A161" s="13"/>
      <c r="B161" s="14"/>
      <c r="C161" s="15"/>
      <c r="D161" s="15"/>
      <c r="E161" s="16"/>
      <c r="F161" s="17"/>
      <c r="G161" s="17"/>
      <c r="H161" s="14"/>
      <c r="I161" s="17"/>
      <c r="J161" s="15"/>
      <c r="K161" s="15"/>
      <c r="L161" s="15"/>
      <c r="M161" s="9">
        <f>IF($A161="","",IF(LEFT($B161,5)="LEAPS",$D161,$C161)*100*$E161)</f>
      </c>
      <c r="N161" s="10">
        <f>IF(OR($A161="",ISNUMBER(MATCH(LOWER($H161),{"open",""},0))),"",IF(LEFT($B161,5)="LEAPS",-1,1)*($D161-IF(ISNUMBER(MATCH(LOWER($H161),{"closed"},0)),$J161,0))*100*$E161-$K161-$L161)</f>
      </c>
      <c r="O161" s="11">
        <f>IF(OR($A161="",$F161=""),"",MAX(1,IF(ISNUMBER(MATCH(LOWER($H161),{"open",""},0)),MIN(TODAY(),$G161),IF($I161="",$G161,$I161))-$F161))</f>
      </c>
      <c r="P161" s="12">
        <f>IF(OR($N161="",$M161="",$M161=0),"",$N161/$M161)</f>
      </c>
      <c r="Q161" s="12">
        <f>IF(OR($P161="",$O161=""),"",$P161*365/$O161)</f>
      </c>
      <c r="R161">
        <f>IF($N161="",0,$M161*$O161)</f>
      </c>
      <c r="S161">
        <f>IF(OR($A161="",LEFT($B161,5)="LEAPS"),0,$D161*100*$E161)</f>
      </c>
    </row>
    <row r="162" spans="1:19" x14ac:dyDescent="0.25">
      <c r="A162" s="13"/>
      <c r="B162" s="14"/>
      <c r="C162" s="15"/>
      <c r="D162" s="15"/>
      <c r="E162" s="16"/>
      <c r="F162" s="17"/>
      <c r="G162" s="17"/>
      <c r="H162" s="14"/>
      <c r="I162" s="17"/>
      <c r="J162" s="15"/>
      <c r="K162" s="15"/>
      <c r="L162" s="15"/>
      <c r="M162" s="9">
        <f>IF($A162="","",IF(LEFT($B162,5)="LEAPS",$D162,$C162)*100*$E162)</f>
      </c>
      <c r="N162" s="10">
        <f>IF(OR($A162="",ISNUMBER(MATCH(LOWER($H162),{"open",""},0))),"",IF(LEFT($B162,5)="LEAPS",-1,1)*($D162-IF(ISNUMBER(MATCH(LOWER($H162),{"closed"},0)),$J162,0))*100*$E162-$K162-$L162)</f>
      </c>
      <c r="O162" s="11">
        <f>IF(OR($A162="",$F162=""),"",MAX(1,IF(ISNUMBER(MATCH(LOWER($H162),{"open",""},0)),MIN(TODAY(),$G162),IF($I162="",$G162,$I162))-$F162))</f>
      </c>
      <c r="P162" s="12">
        <f>IF(OR($N162="",$M162="",$M162=0),"",$N162/$M162)</f>
      </c>
      <c r="Q162" s="12">
        <f>IF(OR($P162="",$O162=""),"",$P162*365/$O162)</f>
      </c>
      <c r="R162">
        <f>IF($N162="",0,$M162*$O162)</f>
      </c>
      <c r="S162">
        <f>IF(OR($A162="",LEFT($B162,5)="LEAPS"),0,$D162*100*$E162)</f>
      </c>
    </row>
    <row r="163" spans="1:19" x14ac:dyDescent="0.25">
      <c r="A163" s="13"/>
      <c r="B163" s="14"/>
      <c r="C163" s="15"/>
      <c r="D163" s="15"/>
      <c r="E163" s="16"/>
      <c r="F163" s="17"/>
      <c r="G163" s="17"/>
      <c r="H163" s="14"/>
      <c r="I163" s="17"/>
      <c r="J163" s="15"/>
      <c r="K163" s="15"/>
      <c r="L163" s="15"/>
      <c r="M163" s="9">
        <f>IF($A163="","",IF(LEFT($B163,5)="LEAPS",$D163,$C163)*100*$E163)</f>
      </c>
      <c r="N163" s="10">
        <f>IF(OR($A163="",ISNUMBER(MATCH(LOWER($H163),{"open",""},0))),"",IF(LEFT($B163,5)="LEAPS",-1,1)*($D163-IF(ISNUMBER(MATCH(LOWER($H163),{"closed"},0)),$J163,0))*100*$E163-$K163-$L163)</f>
      </c>
      <c r="O163" s="11">
        <f>IF(OR($A163="",$F163=""),"",MAX(1,IF(ISNUMBER(MATCH(LOWER($H163),{"open",""},0)),MIN(TODAY(),$G163),IF($I163="",$G163,$I163))-$F163))</f>
      </c>
      <c r="P163" s="12">
        <f>IF(OR($N163="",$M163="",$M163=0),"",$N163/$M163)</f>
      </c>
      <c r="Q163" s="12">
        <f>IF(OR($P163="",$O163=""),"",$P163*365/$O163)</f>
      </c>
      <c r="R163">
        <f>IF($N163="",0,$M163*$O163)</f>
      </c>
      <c r="S163">
        <f>IF(OR($A163="",LEFT($B163,5)="LEAPS"),0,$D163*100*$E163)</f>
      </c>
    </row>
    <row r="164" spans="1:19" x14ac:dyDescent="0.25">
      <c r="A164" s="13"/>
      <c r="B164" s="14"/>
      <c r="C164" s="15"/>
      <c r="D164" s="15"/>
      <c r="E164" s="16"/>
      <c r="F164" s="17"/>
      <c r="G164" s="17"/>
      <c r="H164" s="14"/>
      <c r="I164" s="17"/>
      <c r="J164" s="15"/>
      <c r="K164" s="15"/>
      <c r="L164" s="15"/>
      <c r="M164" s="9">
        <f>IF($A164="","",IF(LEFT($B164,5)="LEAPS",$D164,$C164)*100*$E164)</f>
      </c>
      <c r="N164" s="10">
        <f>IF(OR($A164="",ISNUMBER(MATCH(LOWER($H164),{"open",""},0))),"",IF(LEFT($B164,5)="LEAPS",-1,1)*($D164-IF(ISNUMBER(MATCH(LOWER($H164),{"closed"},0)),$J164,0))*100*$E164-$K164-$L164)</f>
      </c>
      <c r="O164" s="11">
        <f>IF(OR($A164="",$F164=""),"",MAX(1,IF(ISNUMBER(MATCH(LOWER($H164),{"open",""},0)),MIN(TODAY(),$G164),IF($I164="",$G164,$I164))-$F164))</f>
      </c>
      <c r="P164" s="12">
        <f>IF(OR($N164="",$M164="",$M164=0),"",$N164/$M164)</f>
      </c>
      <c r="Q164" s="12">
        <f>IF(OR($P164="",$O164=""),"",$P164*365/$O164)</f>
      </c>
      <c r="R164">
        <f>IF($N164="",0,$M164*$O164)</f>
      </c>
      <c r="S164">
        <f>IF(OR($A164="",LEFT($B164,5)="LEAPS"),0,$D164*100*$E164)</f>
      </c>
    </row>
    <row r="165" spans="1:19" x14ac:dyDescent="0.25">
      <c r="A165" s="13"/>
      <c r="B165" s="14"/>
      <c r="C165" s="15"/>
      <c r="D165" s="15"/>
      <c r="E165" s="16"/>
      <c r="F165" s="17"/>
      <c r="G165" s="17"/>
      <c r="H165" s="14"/>
      <c r="I165" s="17"/>
      <c r="J165" s="15"/>
      <c r="K165" s="15"/>
      <c r="L165" s="15"/>
      <c r="M165" s="9">
        <f>IF($A165="","",IF(LEFT($B165,5)="LEAPS",$D165,$C165)*100*$E165)</f>
      </c>
      <c r="N165" s="10">
        <f>IF(OR($A165="",ISNUMBER(MATCH(LOWER($H165),{"open",""},0))),"",IF(LEFT($B165,5)="LEAPS",-1,1)*($D165-IF(ISNUMBER(MATCH(LOWER($H165),{"closed"},0)),$J165,0))*100*$E165-$K165-$L165)</f>
      </c>
      <c r="O165" s="11">
        <f>IF(OR($A165="",$F165=""),"",MAX(1,IF(ISNUMBER(MATCH(LOWER($H165),{"open",""},0)),MIN(TODAY(),$G165),IF($I165="",$G165,$I165))-$F165))</f>
      </c>
      <c r="P165" s="12">
        <f>IF(OR($N165="",$M165="",$M165=0),"",$N165/$M165)</f>
      </c>
      <c r="Q165" s="12">
        <f>IF(OR($P165="",$O165=""),"",$P165*365/$O165)</f>
      </c>
      <c r="R165">
        <f>IF($N165="",0,$M165*$O165)</f>
      </c>
      <c r="S165">
        <f>IF(OR($A165="",LEFT($B165,5)="LEAPS"),0,$D165*100*$E165)</f>
      </c>
    </row>
    <row r="166" spans="1:19" x14ac:dyDescent="0.25">
      <c r="A166" s="13"/>
      <c r="B166" s="14"/>
      <c r="C166" s="15"/>
      <c r="D166" s="15"/>
      <c r="E166" s="16"/>
      <c r="F166" s="17"/>
      <c r="G166" s="17"/>
      <c r="H166" s="14"/>
      <c r="I166" s="17"/>
      <c r="J166" s="15"/>
      <c r="K166" s="15"/>
      <c r="L166" s="15"/>
      <c r="M166" s="9">
        <f>IF($A166="","",IF(LEFT($B166,5)="LEAPS",$D166,$C166)*100*$E166)</f>
      </c>
      <c r="N166" s="10">
        <f>IF(OR($A166="",ISNUMBER(MATCH(LOWER($H166),{"open",""},0))),"",IF(LEFT($B166,5)="LEAPS",-1,1)*($D166-IF(ISNUMBER(MATCH(LOWER($H166),{"closed"},0)),$J166,0))*100*$E166-$K166-$L166)</f>
      </c>
      <c r="O166" s="11">
        <f>IF(OR($A166="",$F166=""),"",MAX(1,IF(ISNUMBER(MATCH(LOWER($H166),{"open",""},0)),MIN(TODAY(),$G166),IF($I166="",$G166,$I166))-$F166))</f>
      </c>
      <c r="P166" s="12">
        <f>IF(OR($N166="",$M166="",$M166=0),"",$N166/$M166)</f>
      </c>
      <c r="Q166" s="12">
        <f>IF(OR($P166="",$O166=""),"",$P166*365/$O166)</f>
      </c>
      <c r="R166">
        <f>IF($N166="",0,$M166*$O166)</f>
      </c>
      <c r="S166">
        <f>IF(OR($A166="",LEFT($B166,5)="LEAPS"),0,$D166*100*$E166)</f>
      </c>
    </row>
    <row r="167" spans="1:19" x14ac:dyDescent="0.25">
      <c r="A167" s="13"/>
      <c r="B167" s="14"/>
      <c r="C167" s="15"/>
      <c r="D167" s="15"/>
      <c r="E167" s="16"/>
      <c r="F167" s="17"/>
      <c r="G167" s="17"/>
      <c r="H167" s="14"/>
      <c r="I167" s="17"/>
      <c r="J167" s="15"/>
      <c r="K167" s="15"/>
      <c r="L167" s="15"/>
      <c r="M167" s="9">
        <f>IF($A167="","",IF(LEFT($B167,5)="LEAPS",$D167,$C167)*100*$E167)</f>
      </c>
      <c r="N167" s="10">
        <f>IF(OR($A167="",ISNUMBER(MATCH(LOWER($H167),{"open",""},0))),"",IF(LEFT($B167,5)="LEAPS",-1,1)*($D167-IF(ISNUMBER(MATCH(LOWER($H167),{"closed"},0)),$J167,0))*100*$E167-$K167-$L167)</f>
      </c>
      <c r="O167" s="11">
        <f>IF(OR($A167="",$F167=""),"",MAX(1,IF(ISNUMBER(MATCH(LOWER($H167),{"open",""},0)),MIN(TODAY(),$G167),IF($I167="",$G167,$I167))-$F167))</f>
      </c>
      <c r="P167" s="12">
        <f>IF(OR($N167="",$M167="",$M167=0),"",$N167/$M167)</f>
      </c>
      <c r="Q167" s="12">
        <f>IF(OR($P167="",$O167=""),"",$P167*365/$O167)</f>
      </c>
      <c r="R167">
        <f>IF($N167="",0,$M167*$O167)</f>
      </c>
      <c r="S167">
        <f>IF(OR($A167="",LEFT($B167,5)="LEAPS"),0,$D167*100*$E167)</f>
      </c>
    </row>
    <row r="168" spans="1:19" x14ac:dyDescent="0.25">
      <c r="A168" s="13"/>
      <c r="B168" s="14"/>
      <c r="C168" s="15"/>
      <c r="D168" s="15"/>
      <c r="E168" s="16"/>
      <c r="F168" s="17"/>
      <c r="G168" s="17"/>
      <c r="H168" s="14"/>
      <c r="I168" s="17"/>
      <c r="J168" s="15"/>
      <c r="K168" s="15"/>
      <c r="L168" s="15"/>
      <c r="M168" s="9">
        <f>IF($A168="","",IF(LEFT($B168,5)="LEAPS",$D168,$C168)*100*$E168)</f>
      </c>
      <c r="N168" s="10">
        <f>IF(OR($A168="",ISNUMBER(MATCH(LOWER($H168),{"open",""},0))),"",IF(LEFT($B168,5)="LEAPS",-1,1)*($D168-IF(ISNUMBER(MATCH(LOWER($H168),{"closed"},0)),$J168,0))*100*$E168-$K168-$L168)</f>
      </c>
      <c r="O168" s="11">
        <f>IF(OR($A168="",$F168=""),"",MAX(1,IF(ISNUMBER(MATCH(LOWER($H168),{"open",""},0)),MIN(TODAY(),$G168),IF($I168="",$G168,$I168))-$F168))</f>
      </c>
      <c r="P168" s="12">
        <f>IF(OR($N168="",$M168="",$M168=0),"",$N168/$M168)</f>
      </c>
      <c r="Q168" s="12">
        <f>IF(OR($P168="",$O168=""),"",$P168*365/$O168)</f>
      </c>
      <c r="R168">
        <f>IF($N168="",0,$M168*$O168)</f>
      </c>
      <c r="S168">
        <f>IF(OR($A168="",LEFT($B168,5)="LEAPS"),0,$D168*100*$E168)</f>
      </c>
    </row>
    <row r="169" spans="1:19" x14ac:dyDescent="0.25">
      <c r="A169" s="13"/>
      <c r="B169" s="14"/>
      <c r="C169" s="15"/>
      <c r="D169" s="15"/>
      <c r="E169" s="16"/>
      <c r="F169" s="17"/>
      <c r="G169" s="17"/>
      <c r="H169" s="14"/>
      <c r="I169" s="17"/>
      <c r="J169" s="15"/>
      <c r="K169" s="15"/>
      <c r="L169" s="15"/>
      <c r="M169" s="9">
        <f>IF($A169="","",IF(LEFT($B169,5)="LEAPS",$D169,$C169)*100*$E169)</f>
      </c>
      <c r="N169" s="10">
        <f>IF(OR($A169="",ISNUMBER(MATCH(LOWER($H169),{"open",""},0))),"",IF(LEFT($B169,5)="LEAPS",-1,1)*($D169-IF(ISNUMBER(MATCH(LOWER($H169),{"closed"},0)),$J169,0))*100*$E169-$K169-$L169)</f>
      </c>
      <c r="O169" s="11">
        <f>IF(OR($A169="",$F169=""),"",MAX(1,IF(ISNUMBER(MATCH(LOWER($H169),{"open",""},0)),MIN(TODAY(),$G169),IF($I169="",$G169,$I169))-$F169))</f>
      </c>
      <c r="P169" s="12">
        <f>IF(OR($N169="",$M169="",$M169=0),"",$N169/$M169)</f>
      </c>
      <c r="Q169" s="12">
        <f>IF(OR($P169="",$O169=""),"",$P169*365/$O169)</f>
      </c>
      <c r="R169">
        <f>IF($N169="",0,$M169*$O169)</f>
      </c>
      <c r="S169">
        <f>IF(OR($A169="",LEFT($B169,5)="LEAPS"),0,$D169*100*$E169)</f>
      </c>
    </row>
    <row r="170" spans="1:19" x14ac:dyDescent="0.25">
      <c r="A170" s="13"/>
      <c r="B170" s="14"/>
      <c r="C170" s="15"/>
      <c r="D170" s="15"/>
      <c r="E170" s="16"/>
      <c r="F170" s="17"/>
      <c r="G170" s="17"/>
      <c r="H170" s="14"/>
      <c r="I170" s="17"/>
      <c r="J170" s="15"/>
      <c r="K170" s="15"/>
      <c r="L170" s="15"/>
      <c r="M170" s="9">
        <f>IF($A170="","",IF(LEFT($B170,5)="LEAPS",$D170,$C170)*100*$E170)</f>
      </c>
      <c r="N170" s="10">
        <f>IF(OR($A170="",ISNUMBER(MATCH(LOWER($H170),{"open",""},0))),"",IF(LEFT($B170,5)="LEAPS",-1,1)*($D170-IF(ISNUMBER(MATCH(LOWER($H170),{"closed"},0)),$J170,0))*100*$E170-$K170-$L170)</f>
      </c>
      <c r="O170" s="11">
        <f>IF(OR($A170="",$F170=""),"",MAX(1,IF(ISNUMBER(MATCH(LOWER($H170),{"open",""},0)),MIN(TODAY(),$G170),IF($I170="",$G170,$I170))-$F170))</f>
      </c>
      <c r="P170" s="12">
        <f>IF(OR($N170="",$M170="",$M170=0),"",$N170/$M170)</f>
      </c>
      <c r="Q170" s="12">
        <f>IF(OR($P170="",$O170=""),"",$P170*365/$O170)</f>
      </c>
      <c r="R170">
        <f>IF($N170="",0,$M170*$O170)</f>
      </c>
      <c r="S170">
        <f>IF(OR($A170="",LEFT($B170,5)="LEAPS"),0,$D170*100*$E170)</f>
      </c>
    </row>
    <row r="171" spans="1:19" x14ac:dyDescent="0.25">
      <c r="A171" s="13"/>
      <c r="B171" s="14"/>
      <c r="C171" s="15"/>
      <c r="D171" s="15"/>
      <c r="E171" s="16"/>
      <c r="F171" s="17"/>
      <c r="G171" s="17"/>
      <c r="H171" s="14"/>
      <c r="I171" s="17"/>
      <c r="J171" s="15"/>
      <c r="K171" s="15"/>
      <c r="L171" s="15"/>
      <c r="M171" s="9">
        <f>IF($A171="","",IF(LEFT($B171,5)="LEAPS",$D171,$C171)*100*$E171)</f>
      </c>
      <c r="N171" s="10">
        <f>IF(OR($A171="",ISNUMBER(MATCH(LOWER($H171),{"open",""},0))),"",IF(LEFT($B171,5)="LEAPS",-1,1)*($D171-IF(ISNUMBER(MATCH(LOWER($H171),{"closed"},0)),$J171,0))*100*$E171-$K171-$L171)</f>
      </c>
      <c r="O171" s="11">
        <f>IF(OR($A171="",$F171=""),"",MAX(1,IF(ISNUMBER(MATCH(LOWER($H171),{"open",""},0)),MIN(TODAY(),$G171),IF($I171="",$G171,$I171))-$F171))</f>
      </c>
      <c r="P171" s="12">
        <f>IF(OR($N171="",$M171="",$M171=0),"",$N171/$M171)</f>
      </c>
      <c r="Q171" s="12">
        <f>IF(OR($P171="",$O171=""),"",$P171*365/$O171)</f>
      </c>
      <c r="R171">
        <f>IF($N171="",0,$M171*$O171)</f>
      </c>
      <c r="S171">
        <f>IF(OR($A171="",LEFT($B171,5)="LEAPS"),0,$D171*100*$E171)</f>
      </c>
    </row>
    <row r="172" spans="1:19" x14ac:dyDescent="0.25">
      <c r="A172" s="13"/>
      <c r="B172" s="14"/>
      <c r="C172" s="15"/>
      <c r="D172" s="15"/>
      <c r="E172" s="16"/>
      <c r="F172" s="17"/>
      <c r="G172" s="17"/>
      <c r="H172" s="14"/>
      <c r="I172" s="17"/>
      <c r="J172" s="15"/>
      <c r="K172" s="15"/>
      <c r="L172" s="15"/>
      <c r="M172" s="9">
        <f>IF($A172="","",IF(LEFT($B172,5)="LEAPS",$D172,$C172)*100*$E172)</f>
      </c>
      <c r="N172" s="10">
        <f>IF(OR($A172="",ISNUMBER(MATCH(LOWER($H172),{"open",""},0))),"",IF(LEFT($B172,5)="LEAPS",-1,1)*($D172-IF(ISNUMBER(MATCH(LOWER($H172),{"closed"},0)),$J172,0))*100*$E172-$K172-$L172)</f>
      </c>
      <c r="O172" s="11">
        <f>IF(OR($A172="",$F172=""),"",MAX(1,IF(ISNUMBER(MATCH(LOWER($H172),{"open",""},0)),MIN(TODAY(),$G172),IF($I172="",$G172,$I172))-$F172))</f>
      </c>
      <c r="P172" s="12">
        <f>IF(OR($N172="",$M172="",$M172=0),"",$N172/$M172)</f>
      </c>
      <c r="Q172" s="12">
        <f>IF(OR($P172="",$O172=""),"",$P172*365/$O172)</f>
      </c>
      <c r="R172">
        <f>IF($N172="",0,$M172*$O172)</f>
      </c>
      <c r="S172">
        <f>IF(OR($A172="",LEFT($B172,5)="LEAPS"),0,$D172*100*$E172)</f>
      </c>
    </row>
    <row r="173" spans="1:19" x14ac:dyDescent="0.25">
      <c r="A173" s="13"/>
      <c r="B173" s="14"/>
      <c r="C173" s="15"/>
      <c r="D173" s="15"/>
      <c r="E173" s="16"/>
      <c r="F173" s="17"/>
      <c r="G173" s="17"/>
      <c r="H173" s="14"/>
      <c r="I173" s="17"/>
      <c r="J173" s="15"/>
      <c r="K173" s="15"/>
      <c r="L173" s="15"/>
      <c r="M173" s="9">
        <f>IF($A173="","",IF(LEFT($B173,5)="LEAPS",$D173,$C173)*100*$E173)</f>
      </c>
      <c r="N173" s="10">
        <f>IF(OR($A173="",ISNUMBER(MATCH(LOWER($H173),{"open",""},0))),"",IF(LEFT($B173,5)="LEAPS",-1,1)*($D173-IF(ISNUMBER(MATCH(LOWER($H173),{"closed"},0)),$J173,0))*100*$E173-$K173-$L173)</f>
      </c>
      <c r="O173" s="11">
        <f>IF(OR($A173="",$F173=""),"",MAX(1,IF(ISNUMBER(MATCH(LOWER($H173),{"open",""},0)),MIN(TODAY(),$G173),IF($I173="",$G173,$I173))-$F173))</f>
      </c>
      <c r="P173" s="12">
        <f>IF(OR($N173="",$M173="",$M173=0),"",$N173/$M173)</f>
      </c>
      <c r="Q173" s="12">
        <f>IF(OR($P173="",$O173=""),"",$P173*365/$O173)</f>
      </c>
      <c r="R173">
        <f>IF($N173="",0,$M173*$O173)</f>
      </c>
      <c r="S173">
        <f>IF(OR($A173="",LEFT($B173,5)="LEAPS"),0,$D173*100*$E173)</f>
      </c>
    </row>
    <row r="174" spans="1:19" x14ac:dyDescent="0.25">
      <c r="A174" s="13"/>
      <c r="B174" s="14"/>
      <c r="C174" s="15"/>
      <c r="D174" s="15"/>
      <c r="E174" s="16"/>
      <c r="F174" s="17"/>
      <c r="G174" s="17"/>
      <c r="H174" s="14"/>
      <c r="I174" s="17"/>
      <c r="J174" s="15"/>
      <c r="K174" s="15"/>
      <c r="L174" s="15"/>
      <c r="M174" s="9">
        <f>IF($A174="","",IF(LEFT($B174,5)="LEAPS",$D174,$C174)*100*$E174)</f>
      </c>
      <c r="N174" s="10">
        <f>IF(OR($A174="",ISNUMBER(MATCH(LOWER($H174),{"open",""},0))),"",IF(LEFT($B174,5)="LEAPS",-1,1)*($D174-IF(ISNUMBER(MATCH(LOWER($H174),{"closed"},0)),$J174,0))*100*$E174-$K174-$L174)</f>
      </c>
      <c r="O174" s="11">
        <f>IF(OR($A174="",$F174=""),"",MAX(1,IF(ISNUMBER(MATCH(LOWER($H174),{"open",""},0)),MIN(TODAY(),$G174),IF($I174="",$G174,$I174))-$F174))</f>
      </c>
      <c r="P174" s="12">
        <f>IF(OR($N174="",$M174="",$M174=0),"",$N174/$M174)</f>
      </c>
      <c r="Q174" s="12">
        <f>IF(OR($P174="",$O174=""),"",$P174*365/$O174)</f>
      </c>
      <c r="R174">
        <f>IF($N174="",0,$M174*$O174)</f>
      </c>
      <c r="S174">
        <f>IF(OR($A174="",LEFT($B174,5)="LEAPS"),0,$D174*100*$E174)</f>
      </c>
    </row>
    <row r="175" spans="1:19" x14ac:dyDescent="0.25">
      <c r="A175" s="13"/>
      <c r="B175" s="14"/>
      <c r="C175" s="15"/>
      <c r="D175" s="15"/>
      <c r="E175" s="16"/>
      <c r="F175" s="17"/>
      <c r="G175" s="17"/>
      <c r="H175" s="14"/>
      <c r="I175" s="17"/>
      <c r="J175" s="15"/>
      <c r="K175" s="15"/>
      <c r="L175" s="15"/>
      <c r="M175" s="9">
        <f>IF($A175="","",IF(LEFT($B175,5)="LEAPS",$D175,$C175)*100*$E175)</f>
      </c>
      <c r="N175" s="10">
        <f>IF(OR($A175="",ISNUMBER(MATCH(LOWER($H175),{"open",""},0))),"",IF(LEFT($B175,5)="LEAPS",-1,1)*($D175-IF(ISNUMBER(MATCH(LOWER($H175),{"closed"},0)),$J175,0))*100*$E175-$K175-$L175)</f>
      </c>
      <c r="O175" s="11">
        <f>IF(OR($A175="",$F175=""),"",MAX(1,IF(ISNUMBER(MATCH(LOWER($H175),{"open",""},0)),MIN(TODAY(),$G175),IF($I175="",$G175,$I175))-$F175))</f>
      </c>
      <c r="P175" s="12">
        <f>IF(OR($N175="",$M175="",$M175=0),"",$N175/$M175)</f>
      </c>
      <c r="Q175" s="12">
        <f>IF(OR($P175="",$O175=""),"",$P175*365/$O175)</f>
      </c>
      <c r="R175">
        <f>IF($N175="",0,$M175*$O175)</f>
      </c>
      <c r="S175">
        <f>IF(OR($A175="",LEFT($B175,5)="LEAPS"),0,$D175*100*$E175)</f>
      </c>
    </row>
    <row r="176" spans="1:19" x14ac:dyDescent="0.25">
      <c r="A176" s="13"/>
      <c r="B176" s="14"/>
      <c r="C176" s="15"/>
      <c r="D176" s="15"/>
      <c r="E176" s="16"/>
      <c r="F176" s="17"/>
      <c r="G176" s="17"/>
      <c r="H176" s="14"/>
      <c r="I176" s="17"/>
      <c r="J176" s="15"/>
      <c r="K176" s="15"/>
      <c r="L176" s="15"/>
      <c r="M176" s="9">
        <f>IF($A176="","",IF(LEFT($B176,5)="LEAPS",$D176,$C176)*100*$E176)</f>
      </c>
      <c r="N176" s="10">
        <f>IF(OR($A176="",ISNUMBER(MATCH(LOWER($H176),{"open",""},0))),"",IF(LEFT($B176,5)="LEAPS",-1,1)*($D176-IF(ISNUMBER(MATCH(LOWER($H176),{"closed"},0)),$J176,0))*100*$E176-$K176-$L176)</f>
      </c>
      <c r="O176" s="11">
        <f>IF(OR($A176="",$F176=""),"",MAX(1,IF(ISNUMBER(MATCH(LOWER($H176),{"open",""},0)),MIN(TODAY(),$G176),IF($I176="",$G176,$I176))-$F176))</f>
      </c>
      <c r="P176" s="12">
        <f>IF(OR($N176="",$M176="",$M176=0),"",$N176/$M176)</f>
      </c>
      <c r="Q176" s="12">
        <f>IF(OR($P176="",$O176=""),"",$P176*365/$O176)</f>
      </c>
      <c r="R176">
        <f>IF($N176="",0,$M176*$O176)</f>
      </c>
      <c r="S176">
        <f>IF(OR($A176="",LEFT($B176,5)="LEAPS"),0,$D176*100*$E176)</f>
      </c>
    </row>
    <row r="177" spans="1:19" x14ac:dyDescent="0.25">
      <c r="A177" s="13"/>
      <c r="B177" s="14"/>
      <c r="C177" s="15"/>
      <c r="D177" s="15"/>
      <c r="E177" s="16"/>
      <c r="F177" s="17"/>
      <c r="G177" s="17"/>
      <c r="H177" s="14"/>
      <c r="I177" s="17"/>
      <c r="J177" s="15"/>
      <c r="K177" s="15"/>
      <c r="L177" s="15"/>
      <c r="M177" s="9">
        <f>IF($A177="","",IF(LEFT($B177,5)="LEAPS",$D177,$C177)*100*$E177)</f>
      </c>
      <c r="N177" s="10">
        <f>IF(OR($A177="",ISNUMBER(MATCH(LOWER($H177),{"open",""},0))),"",IF(LEFT($B177,5)="LEAPS",-1,1)*($D177-IF(ISNUMBER(MATCH(LOWER($H177),{"closed"},0)),$J177,0))*100*$E177-$K177-$L177)</f>
      </c>
      <c r="O177" s="11">
        <f>IF(OR($A177="",$F177=""),"",MAX(1,IF(ISNUMBER(MATCH(LOWER($H177),{"open",""},0)),MIN(TODAY(),$G177),IF($I177="",$G177,$I177))-$F177))</f>
      </c>
      <c r="P177" s="12">
        <f>IF(OR($N177="",$M177="",$M177=0),"",$N177/$M177)</f>
      </c>
      <c r="Q177" s="12">
        <f>IF(OR($P177="",$O177=""),"",$P177*365/$O177)</f>
      </c>
      <c r="R177">
        <f>IF($N177="",0,$M177*$O177)</f>
      </c>
      <c r="S177">
        <f>IF(OR($A177="",LEFT($B177,5)="LEAPS"),0,$D177*100*$E177)</f>
      </c>
    </row>
    <row r="178" spans="1:19" x14ac:dyDescent="0.25">
      <c r="A178" s="13"/>
      <c r="B178" s="14"/>
      <c r="C178" s="15"/>
      <c r="D178" s="15"/>
      <c r="E178" s="16"/>
      <c r="F178" s="17"/>
      <c r="G178" s="17"/>
      <c r="H178" s="14"/>
      <c r="I178" s="17"/>
      <c r="J178" s="15"/>
      <c r="K178" s="15"/>
      <c r="L178" s="15"/>
      <c r="M178" s="9">
        <f>IF($A178="","",IF(LEFT($B178,5)="LEAPS",$D178,$C178)*100*$E178)</f>
      </c>
      <c r="N178" s="10">
        <f>IF(OR($A178="",ISNUMBER(MATCH(LOWER($H178),{"open",""},0))),"",IF(LEFT($B178,5)="LEAPS",-1,1)*($D178-IF(ISNUMBER(MATCH(LOWER($H178),{"closed"},0)),$J178,0))*100*$E178-$K178-$L178)</f>
      </c>
      <c r="O178" s="11">
        <f>IF(OR($A178="",$F178=""),"",MAX(1,IF(ISNUMBER(MATCH(LOWER($H178),{"open",""},0)),MIN(TODAY(),$G178),IF($I178="",$G178,$I178))-$F178))</f>
      </c>
      <c r="P178" s="12">
        <f>IF(OR($N178="",$M178="",$M178=0),"",$N178/$M178)</f>
      </c>
      <c r="Q178" s="12">
        <f>IF(OR($P178="",$O178=""),"",$P178*365/$O178)</f>
      </c>
      <c r="R178">
        <f>IF($N178="",0,$M178*$O178)</f>
      </c>
      <c r="S178">
        <f>IF(OR($A178="",LEFT($B178,5)="LEAPS"),0,$D178*100*$E178)</f>
      </c>
    </row>
    <row r="179" spans="1:19" x14ac:dyDescent="0.25">
      <c r="A179" s="13"/>
      <c r="B179" s="14"/>
      <c r="C179" s="15"/>
      <c r="D179" s="15"/>
      <c r="E179" s="16"/>
      <c r="F179" s="17"/>
      <c r="G179" s="17"/>
      <c r="H179" s="14"/>
      <c r="I179" s="17"/>
      <c r="J179" s="15"/>
      <c r="K179" s="15"/>
      <c r="L179" s="15"/>
      <c r="M179" s="9">
        <f>IF($A179="","",IF(LEFT($B179,5)="LEAPS",$D179,$C179)*100*$E179)</f>
      </c>
      <c r="N179" s="10">
        <f>IF(OR($A179="",ISNUMBER(MATCH(LOWER($H179),{"open",""},0))),"",IF(LEFT($B179,5)="LEAPS",-1,1)*($D179-IF(ISNUMBER(MATCH(LOWER($H179),{"closed"},0)),$J179,0))*100*$E179-$K179-$L179)</f>
      </c>
      <c r="O179" s="11">
        <f>IF(OR($A179="",$F179=""),"",MAX(1,IF(ISNUMBER(MATCH(LOWER($H179),{"open",""},0)),MIN(TODAY(),$G179),IF($I179="",$G179,$I179))-$F179))</f>
      </c>
      <c r="P179" s="12">
        <f>IF(OR($N179="",$M179="",$M179=0),"",$N179/$M179)</f>
      </c>
      <c r="Q179" s="12">
        <f>IF(OR($P179="",$O179=""),"",$P179*365/$O179)</f>
      </c>
      <c r="R179">
        <f>IF($N179="",0,$M179*$O179)</f>
      </c>
      <c r="S179">
        <f>IF(OR($A179="",LEFT($B179,5)="LEAPS"),0,$D179*100*$E179)</f>
      </c>
    </row>
    <row r="180" spans="1:19" x14ac:dyDescent="0.25">
      <c r="A180" s="13"/>
      <c r="B180" s="14"/>
      <c r="C180" s="15"/>
      <c r="D180" s="15"/>
      <c r="E180" s="16"/>
      <c r="F180" s="17"/>
      <c r="G180" s="17"/>
      <c r="H180" s="14"/>
      <c r="I180" s="17"/>
      <c r="J180" s="15"/>
      <c r="K180" s="15"/>
      <c r="L180" s="15"/>
      <c r="M180" s="9">
        <f>IF($A180="","",IF(LEFT($B180,5)="LEAPS",$D180,$C180)*100*$E180)</f>
      </c>
      <c r="N180" s="10">
        <f>IF(OR($A180="",ISNUMBER(MATCH(LOWER($H180),{"open",""},0))),"",IF(LEFT($B180,5)="LEAPS",-1,1)*($D180-IF(ISNUMBER(MATCH(LOWER($H180),{"closed"},0)),$J180,0))*100*$E180-$K180-$L180)</f>
      </c>
      <c r="O180" s="11">
        <f>IF(OR($A180="",$F180=""),"",MAX(1,IF(ISNUMBER(MATCH(LOWER($H180),{"open",""},0)),MIN(TODAY(),$G180),IF($I180="",$G180,$I180))-$F180))</f>
      </c>
      <c r="P180" s="12">
        <f>IF(OR($N180="",$M180="",$M180=0),"",$N180/$M180)</f>
      </c>
      <c r="Q180" s="12">
        <f>IF(OR($P180="",$O180=""),"",$P180*365/$O180)</f>
      </c>
      <c r="R180">
        <f>IF($N180="",0,$M180*$O180)</f>
      </c>
      <c r="S180">
        <f>IF(OR($A180="",LEFT($B180,5)="LEAPS"),0,$D180*100*$E180)</f>
      </c>
    </row>
    <row r="181" spans="1:19" x14ac:dyDescent="0.25">
      <c r="A181" s="13"/>
      <c r="B181" s="14"/>
      <c r="C181" s="15"/>
      <c r="D181" s="15"/>
      <c r="E181" s="16"/>
      <c r="F181" s="17"/>
      <c r="G181" s="17"/>
      <c r="H181" s="14"/>
      <c r="I181" s="17"/>
      <c r="J181" s="15"/>
      <c r="K181" s="15"/>
      <c r="L181" s="15"/>
      <c r="M181" s="9">
        <f>IF($A181="","",IF(LEFT($B181,5)="LEAPS",$D181,$C181)*100*$E181)</f>
      </c>
      <c r="N181" s="10">
        <f>IF(OR($A181="",ISNUMBER(MATCH(LOWER($H181),{"open",""},0))),"",IF(LEFT($B181,5)="LEAPS",-1,1)*($D181-IF(ISNUMBER(MATCH(LOWER($H181),{"closed"},0)),$J181,0))*100*$E181-$K181-$L181)</f>
      </c>
      <c r="O181" s="11">
        <f>IF(OR($A181="",$F181=""),"",MAX(1,IF(ISNUMBER(MATCH(LOWER($H181),{"open",""},0)),MIN(TODAY(),$G181),IF($I181="",$G181,$I181))-$F181))</f>
      </c>
      <c r="P181" s="12">
        <f>IF(OR($N181="",$M181="",$M181=0),"",$N181/$M181)</f>
      </c>
      <c r="Q181" s="12">
        <f>IF(OR($P181="",$O181=""),"",$P181*365/$O181)</f>
      </c>
      <c r="R181">
        <f>IF($N181="",0,$M181*$O181)</f>
      </c>
      <c r="S181">
        <f>IF(OR($A181="",LEFT($B181,5)="LEAPS"),0,$D181*100*$E181)</f>
      </c>
    </row>
    <row r="182" spans="1:19" x14ac:dyDescent="0.25">
      <c r="A182" s="13"/>
      <c r="B182" s="14"/>
      <c r="C182" s="15"/>
      <c r="D182" s="15"/>
      <c r="E182" s="16"/>
      <c r="F182" s="17"/>
      <c r="G182" s="17"/>
      <c r="H182" s="14"/>
      <c r="I182" s="17"/>
      <c r="J182" s="15"/>
      <c r="K182" s="15"/>
      <c r="L182" s="15"/>
      <c r="M182" s="9">
        <f>IF($A182="","",IF(LEFT($B182,5)="LEAPS",$D182,$C182)*100*$E182)</f>
      </c>
      <c r="N182" s="10">
        <f>IF(OR($A182="",ISNUMBER(MATCH(LOWER($H182),{"open",""},0))),"",IF(LEFT($B182,5)="LEAPS",-1,1)*($D182-IF(ISNUMBER(MATCH(LOWER($H182),{"closed"},0)),$J182,0))*100*$E182-$K182-$L182)</f>
      </c>
      <c r="O182" s="11">
        <f>IF(OR($A182="",$F182=""),"",MAX(1,IF(ISNUMBER(MATCH(LOWER($H182),{"open",""},0)),MIN(TODAY(),$G182),IF($I182="",$G182,$I182))-$F182))</f>
      </c>
      <c r="P182" s="12">
        <f>IF(OR($N182="",$M182="",$M182=0),"",$N182/$M182)</f>
      </c>
      <c r="Q182" s="12">
        <f>IF(OR($P182="",$O182=""),"",$P182*365/$O182)</f>
      </c>
      <c r="R182">
        <f>IF($N182="",0,$M182*$O182)</f>
      </c>
      <c r="S182">
        <f>IF(OR($A182="",LEFT($B182,5)="LEAPS"),0,$D182*100*$E182)</f>
      </c>
    </row>
    <row r="183" spans="1:19" x14ac:dyDescent="0.25">
      <c r="A183" s="13"/>
      <c r="B183" s="14"/>
      <c r="C183" s="15"/>
      <c r="D183" s="15"/>
      <c r="E183" s="16"/>
      <c r="F183" s="17"/>
      <c r="G183" s="17"/>
      <c r="H183" s="14"/>
      <c r="I183" s="17"/>
      <c r="J183" s="15"/>
      <c r="K183" s="15"/>
      <c r="L183" s="15"/>
      <c r="M183" s="9">
        <f>IF($A183="","",IF(LEFT($B183,5)="LEAPS",$D183,$C183)*100*$E183)</f>
      </c>
      <c r="N183" s="10">
        <f>IF(OR($A183="",ISNUMBER(MATCH(LOWER($H183),{"open",""},0))),"",IF(LEFT($B183,5)="LEAPS",-1,1)*($D183-IF(ISNUMBER(MATCH(LOWER($H183),{"closed"},0)),$J183,0))*100*$E183-$K183-$L183)</f>
      </c>
      <c r="O183" s="11">
        <f>IF(OR($A183="",$F183=""),"",MAX(1,IF(ISNUMBER(MATCH(LOWER($H183),{"open",""},0)),MIN(TODAY(),$G183),IF($I183="",$G183,$I183))-$F183))</f>
      </c>
      <c r="P183" s="12">
        <f>IF(OR($N183="",$M183="",$M183=0),"",$N183/$M183)</f>
      </c>
      <c r="Q183" s="12">
        <f>IF(OR($P183="",$O183=""),"",$P183*365/$O183)</f>
      </c>
      <c r="R183">
        <f>IF($N183="",0,$M183*$O183)</f>
      </c>
      <c r="S183">
        <f>IF(OR($A183="",LEFT($B183,5)="LEAPS"),0,$D183*100*$E183)</f>
      </c>
    </row>
    <row r="184" spans="1:19" x14ac:dyDescent="0.25">
      <c r="A184" s="13"/>
      <c r="B184" s="14"/>
      <c r="C184" s="15"/>
      <c r="D184" s="15"/>
      <c r="E184" s="16"/>
      <c r="F184" s="17"/>
      <c r="G184" s="17"/>
      <c r="H184" s="14"/>
      <c r="I184" s="17"/>
      <c r="J184" s="15"/>
      <c r="K184" s="15"/>
      <c r="L184" s="15"/>
      <c r="M184" s="9">
        <f>IF($A184="","",IF(LEFT($B184,5)="LEAPS",$D184,$C184)*100*$E184)</f>
      </c>
      <c r="N184" s="10">
        <f>IF(OR($A184="",ISNUMBER(MATCH(LOWER($H184),{"open",""},0))),"",IF(LEFT($B184,5)="LEAPS",-1,1)*($D184-IF(ISNUMBER(MATCH(LOWER($H184),{"closed"},0)),$J184,0))*100*$E184-$K184-$L184)</f>
      </c>
      <c r="O184" s="11">
        <f>IF(OR($A184="",$F184=""),"",MAX(1,IF(ISNUMBER(MATCH(LOWER($H184),{"open",""},0)),MIN(TODAY(),$G184),IF($I184="",$G184,$I184))-$F184))</f>
      </c>
      <c r="P184" s="12">
        <f>IF(OR($N184="",$M184="",$M184=0),"",$N184/$M184)</f>
      </c>
      <c r="Q184" s="12">
        <f>IF(OR($P184="",$O184=""),"",$P184*365/$O184)</f>
      </c>
      <c r="R184">
        <f>IF($N184="",0,$M184*$O184)</f>
      </c>
      <c r="S184">
        <f>IF(OR($A184="",LEFT($B184,5)="LEAPS"),0,$D184*100*$E184)</f>
      </c>
    </row>
    <row r="185" spans="1:19" x14ac:dyDescent="0.25">
      <c r="A185" s="13"/>
      <c r="B185" s="14"/>
      <c r="C185" s="15"/>
      <c r="D185" s="15"/>
      <c r="E185" s="16"/>
      <c r="F185" s="17"/>
      <c r="G185" s="17"/>
      <c r="H185" s="14"/>
      <c r="I185" s="17"/>
      <c r="J185" s="15"/>
      <c r="K185" s="15"/>
      <c r="L185" s="15"/>
      <c r="M185" s="9">
        <f>IF($A185="","",IF(LEFT($B185,5)="LEAPS",$D185,$C185)*100*$E185)</f>
      </c>
      <c r="N185" s="10">
        <f>IF(OR($A185="",ISNUMBER(MATCH(LOWER($H185),{"open",""},0))),"",IF(LEFT($B185,5)="LEAPS",-1,1)*($D185-IF(ISNUMBER(MATCH(LOWER($H185),{"closed"},0)),$J185,0))*100*$E185-$K185-$L185)</f>
      </c>
      <c r="O185" s="11">
        <f>IF(OR($A185="",$F185=""),"",MAX(1,IF(ISNUMBER(MATCH(LOWER($H185),{"open",""},0)),MIN(TODAY(),$G185),IF($I185="",$G185,$I185))-$F185))</f>
      </c>
      <c r="P185" s="12">
        <f>IF(OR($N185="",$M185="",$M185=0),"",$N185/$M185)</f>
      </c>
      <c r="Q185" s="12">
        <f>IF(OR($P185="",$O185=""),"",$P185*365/$O185)</f>
      </c>
      <c r="R185">
        <f>IF($N185="",0,$M185*$O185)</f>
      </c>
      <c r="S185">
        <f>IF(OR($A185="",LEFT($B185,5)="LEAPS"),0,$D185*100*$E185)</f>
      </c>
    </row>
    <row r="186" spans="1:19" x14ac:dyDescent="0.25">
      <c r="A186" s="13"/>
      <c r="B186" s="14"/>
      <c r="C186" s="15"/>
      <c r="D186" s="15"/>
      <c r="E186" s="16"/>
      <c r="F186" s="17"/>
      <c r="G186" s="17"/>
      <c r="H186" s="14"/>
      <c r="I186" s="17"/>
      <c r="J186" s="15"/>
      <c r="K186" s="15"/>
      <c r="L186" s="15"/>
      <c r="M186" s="9">
        <f>IF($A186="","",IF(LEFT($B186,5)="LEAPS",$D186,$C186)*100*$E186)</f>
      </c>
      <c r="N186" s="10">
        <f>IF(OR($A186="",ISNUMBER(MATCH(LOWER($H186),{"open",""},0))),"",IF(LEFT($B186,5)="LEAPS",-1,1)*($D186-IF(ISNUMBER(MATCH(LOWER($H186),{"closed"},0)),$J186,0))*100*$E186-$K186-$L186)</f>
      </c>
      <c r="O186" s="11">
        <f>IF(OR($A186="",$F186=""),"",MAX(1,IF(ISNUMBER(MATCH(LOWER($H186),{"open",""},0)),MIN(TODAY(),$G186),IF($I186="",$G186,$I186))-$F186))</f>
      </c>
      <c r="P186" s="12">
        <f>IF(OR($N186="",$M186="",$M186=0),"",$N186/$M186)</f>
      </c>
      <c r="Q186" s="12">
        <f>IF(OR($P186="",$O186=""),"",$P186*365/$O186)</f>
      </c>
      <c r="R186">
        <f>IF($N186="",0,$M186*$O186)</f>
      </c>
      <c r="S186">
        <f>IF(OR($A186="",LEFT($B186,5)="LEAPS"),0,$D186*100*$E186)</f>
      </c>
    </row>
    <row r="187" spans="1:19" x14ac:dyDescent="0.25">
      <c r="A187" s="13"/>
      <c r="B187" s="14"/>
      <c r="C187" s="15"/>
      <c r="D187" s="15"/>
      <c r="E187" s="16"/>
      <c r="F187" s="17"/>
      <c r="G187" s="17"/>
      <c r="H187" s="14"/>
      <c r="I187" s="17"/>
      <c r="J187" s="15"/>
      <c r="K187" s="15"/>
      <c r="L187" s="15"/>
      <c r="M187" s="9">
        <f>IF($A187="","",IF(LEFT($B187,5)="LEAPS",$D187,$C187)*100*$E187)</f>
      </c>
      <c r="N187" s="10">
        <f>IF(OR($A187="",ISNUMBER(MATCH(LOWER($H187),{"open",""},0))),"",IF(LEFT($B187,5)="LEAPS",-1,1)*($D187-IF(ISNUMBER(MATCH(LOWER($H187),{"closed"},0)),$J187,0))*100*$E187-$K187-$L187)</f>
      </c>
      <c r="O187" s="11">
        <f>IF(OR($A187="",$F187=""),"",MAX(1,IF(ISNUMBER(MATCH(LOWER($H187),{"open",""},0)),MIN(TODAY(),$G187),IF($I187="",$G187,$I187))-$F187))</f>
      </c>
      <c r="P187" s="12">
        <f>IF(OR($N187="",$M187="",$M187=0),"",$N187/$M187)</f>
      </c>
      <c r="Q187" s="12">
        <f>IF(OR($P187="",$O187=""),"",$P187*365/$O187)</f>
      </c>
      <c r="R187">
        <f>IF($N187="",0,$M187*$O187)</f>
      </c>
      <c r="S187">
        <f>IF(OR($A187="",LEFT($B187,5)="LEAPS"),0,$D187*100*$E187)</f>
      </c>
    </row>
    <row r="188" spans="1:19" x14ac:dyDescent="0.25">
      <c r="A188" s="13"/>
      <c r="B188" s="14"/>
      <c r="C188" s="15"/>
      <c r="D188" s="15"/>
      <c r="E188" s="16"/>
      <c r="F188" s="17"/>
      <c r="G188" s="17"/>
      <c r="H188" s="14"/>
      <c r="I188" s="17"/>
      <c r="J188" s="15"/>
      <c r="K188" s="15"/>
      <c r="L188" s="15"/>
      <c r="M188" s="9">
        <f>IF($A188="","",IF(LEFT($B188,5)="LEAPS",$D188,$C188)*100*$E188)</f>
      </c>
      <c r="N188" s="10">
        <f>IF(OR($A188="",ISNUMBER(MATCH(LOWER($H188),{"open",""},0))),"",IF(LEFT($B188,5)="LEAPS",-1,1)*($D188-IF(ISNUMBER(MATCH(LOWER($H188),{"closed"},0)),$J188,0))*100*$E188-$K188-$L188)</f>
      </c>
      <c r="O188" s="11">
        <f>IF(OR($A188="",$F188=""),"",MAX(1,IF(ISNUMBER(MATCH(LOWER($H188),{"open",""},0)),MIN(TODAY(),$G188),IF($I188="",$G188,$I188))-$F188))</f>
      </c>
      <c r="P188" s="12">
        <f>IF(OR($N188="",$M188="",$M188=0),"",$N188/$M188)</f>
      </c>
      <c r="Q188" s="12">
        <f>IF(OR($P188="",$O188=""),"",$P188*365/$O188)</f>
      </c>
      <c r="R188">
        <f>IF($N188="",0,$M188*$O188)</f>
      </c>
      <c r="S188">
        <f>IF(OR($A188="",LEFT($B188,5)="LEAPS"),0,$D188*100*$E188)</f>
      </c>
    </row>
    <row r="189" spans="1:19" x14ac:dyDescent="0.25">
      <c r="A189" s="13"/>
      <c r="B189" s="14"/>
      <c r="C189" s="15"/>
      <c r="D189" s="15"/>
      <c r="E189" s="16"/>
      <c r="F189" s="17"/>
      <c r="G189" s="17"/>
      <c r="H189" s="14"/>
      <c r="I189" s="17"/>
      <c r="J189" s="15"/>
      <c r="K189" s="15"/>
      <c r="L189" s="15"/>
      <c r="M189" s="9">
        <f>IF($A189="","",IF(LEFT($B189,5)="LEAPS",$D189,$C189)*100*$E189)</f>
      </c>
      <c r="N189" s="10">
        <f>IF(OR($A189="",ISNUMBER(MATCH(LOWER($H189),{"open",""},0))),"",IF(LEFT($B189,5)="LEAPS",-1,1)*($D189-IF(ISNUMBER(MATCH(LOWER($H189),{"closed"},0)),$J189,0))*100*$E189-$K189-$L189)</f>
      </c>
      <c r="O189" s="11">
        <f>IF(OR($A189="",$F189=""),"",MAX(1,IF(ISNUMBER(MATCH(LOWER($H189),{"open",""},0)),MIN(TODAY(),$G189),IF($I189="",$G189,$I189))-$F189))</f>
      </c>
      <c r="P189" s="12">
        <f>IF(OR($N189="",$M189="",$M189=0),"",$N189/$M189)</f>
      </c>
      <c r="Q189" s="12">
        <f>IF(OR($P189="",$O189=""),"",$P189*365/$O189)</f>
      </c>
      <c r="R189">
        <f>IF($N189="",0,$M189*$O189)</f>
      </c>
      <c r="S189">
        <f>IF(OR($A189="",LEFT($B189,5)="LEAPS"),0,$D189*100*$E189)</f>
      </c>
    </row>
    <row r="190" spans="1:19" x14ac:dyDescent="0.25">
      <c r="A190" s="13"/>
      <c r="B190" s="14"/>
      <c r="C190" s="15"/>
      <c r="D190" s="15"/>
      <c r="E190" s="16"/>
      <c r="F190" s="17"/>
      <c r="G190" s="17"/>
      <c r="H190" s="14"/>
      <c r="I190" s="17"/>
      <c r="J190" s="15"/>
      <c r="K190" s="15"/>
      <c r="L190" s="15"/>
      <c r="M190" s="9">
        <f>IF($A190="","",IF(LEFT($B190,5)="LEAPS",$D190,$C190)*100*$E190)</f>
      </c>
      <c r="N190" s="10">
        <f>IF(OR($A190="",ISNUMBER(MATCH(LOWER($H190),{"open",""},0))),"",IF(LEFT($B190,5)="LEAPS",-1,1)*($D190-IF(ISNUMBER(MATCH(LOWER($H190),{"closed"},0)),$J190,0))*100*$E190-$K190-$L190)</f>
      </c>
      <c r="O190" s="11">
        <f>IF(OR($A190="",$F190=""),"",MAX(1,IF(ISNUMBER(MATCH(LOWER($H190),{"open",""},0)),MIN(TODAY(),$G190),IF($I190="",$G190,$I190))-$F190))</f>
      </c>
      <c r="P190" s="12">
        <f>IF(OR($N190="",$M190="",$M190=0),"",$N190/$M190)</f>
      </c>
      <c r="Q190" s="12">
        <f>IF(OR($P190="",$O190=""),"",$P190*365/$O190)</f>
      </c>
      <c r="R190">
        <f>IF($N190="",0,$M190*$O190)</f>
      </c>
      <c r="S190">
        <f>IF(OR($A190="",LEFT($B190,5)="LEAPS"),0,$D190*100*$E190)</f>
      </c>
    </row>
    <row r="191" spans="1:19" x14ac:dyDescent="0.25">
      <c r="A191" s="13"/>
      <c r="B191" s="14"/>
      <c r="C191" s="15"/>
      <c r="D191" s="15"/>
      <c r="E191" s="16"/>
      <c r="F191" s="17"/>
      <c r="G191" s="17"/>
      <c r="H191" s="14"/>
      <c r="I191" s="17"/>
      <c r="J191" s="15"/>
      <c r="K191" s="15"/>
      <c r="L191" s="15"/>
      <c r="M191" s="9">
        <f>IF($A191="","",IF(LEFT($B191,5)="LEAPS",$D191,$C191)*100*$E191)</f>
      </c>
      <c r="N191" s="10">
        <f>IF(OR($A191="",ISNUMBER(MATCH(LOWER($H191),{"open",""},0))),"",IF(LEFT($B191,5)="LEAPS",-1,1)*($D191-IF(ISNUMBER(MATCH(LOWER($H191),{"closed"},0)),$J191,0))*100*$E191-$K191-$L191)</f>
      </c>
      <c r="O191" s="11">
        <f>IF(OR($A191="",$F191=""),"",MAX(1,IF(ISNUMBER(MATCH(LOWER($H191),{"open",""},0)),MIN(TODAY(),$G191),IF($I191="",$G191,$I191))-$F191))</f>
      </c>
      <c r="P191" s="12">
        <f>IF(OR($N191="",$M191="",$M191=0),"",$N191/$M191)</f>
      </c>
      <c r="Q191" s="12">
        <f>IF(OR($P191="",$O191=""),"",$P191*365/$O191)</f>
      </c>
      <c r="R191">
        <f>IF($N191="",0,$M191*$O191)</f>
      </c>
      <c r="S191">
        <f>IF(OR($A191="",LEFT($B191,5)="LEAPS"),0,$D191*100*$E191)</f>
      </c>
    </row>
    <row r="192" spans="1:19" x14ac:dyDescent="0.25">
      <c r="A192" s="13"/>
      <c r="B192" s="14"/>
      <c r="C192" s="15"/>
      <c r="D192" s="15"/>
      <c r="E192" s="16"/>
      <c r="F192" s="17"/>
      <c r="G192" s="17"/>
      <c r="H192" s="14"/>
      <c r="I192" s="17"/>
      <c r="J192" s="15"/>
      <c r="K192" s="15"/>
      <c r="L192" s="15"/>
      <c r="M192" s="9">
        <f>IF($A192="","",IF(LEFT($B192,5)="LEAPS",$D192,$C192)*100*$E192)</f>
      </c>
      <c r="N192" s="10">
        <f>IF(OR($A192="",ISNUMBER(MATCH(LOWER($H192),{"open",""},0))),"",IF(LEFT($B192,5)="LEAPS",-1,1)*($D192-IF(ISNUMBER(MATCH(LOWER($H192),{"closed"},0)),$J192,0))*100*$E192-$K192-$L192)</f>
      </c>
      <c r="O192" s="11">
        <f>IF(OR($A192="",$F192=""),"",MAX(1,IF(ISNUMBER(MATCH(LOWER($H192),{"open",""},0)),MIN(TODAY(),$G192),IF($I192="",$G192,$I192))-$F192))</f>
      </c>
      <c r="P192" s="12">
        <f>IF(OR($N192="",$M192="",$M192=0),"",$N192/$M192)</f>
      </c>
      <c r="Q192" s="12">
        <f>IF(OR($P192="",$O192=""),"",$P192*365/$O192)</f>
      </c>
      <c r="R192">
        <f>IF($N192="",0,$M192*$O192)</f>
      </c>
      <c r="S192">
        <f>IF(OR($A192="",LEFT($B192,5)="LEAPS"),0,$D192*100*$E192)</f>
      </c>
    </row>
    <row r="193" spans="1:19" x14ac:dyDescent="0.25">
      <c r="A193" s="13"/>
      <c r="B193" s="14"/>
      <c r="C193" s="15"/>
      <c r="D193" s="15"/>
      <c r="E193" s="16"/>
      <c r="F193" s="17"/>
      <c r="G193" s="17"/>
      <c r="H193" s="14"/>
      <c r="I193" s="17"/>
      <c r="J193" s="15"/>
      <c r="K193" s="15"/>
      <c r="L193" s="15"/>
      <c r="M193" s="9">
        <f>IF($A193="","",IF(LEFT($B193,5)="LEAPS",$D193,$C193)*100*$E193)</f>
      </c>
      <c r="N193" s="10">
        <f>IF(OR($A193="",ISNUMBER(MATCH(LOWER($H193),{"open",""},0))),"",IF(LEFT($B193,5)="LEAPS",-1,1)*($D193-IF(ISNUMBER(MATCH(LOWER($H193),{"closed"},0)),$J193,0))*100*$E193-$K193-$L193)</f>
      </c>
      <c r="O193" s="11">
        <f>IF(OR($A193="",$F193=""),"",MAX(1,IF(ISNUMBER(MATCH(LOWER($H193),{"open",""},0)),MIN(TODAY(),$G193),IF($I193="",$G193,$I193))-$F193))</f>
      </c>
      <c r="P193" s="12">
        <f>IF(OR($N193="",$M193="",$M193=0),"",$N193/$M193)</f>
      </c>
      <c r="Q193" s="12">
        <f>IF(OR($P193="",$O193=""),"",$P193*365/$O193)</f>
      </c>
      <c r="R193">
        <f>IF($N193="",0,$M193*$O193)</f>
      </c>
      <c r="S193">
        <f>IF(OR($A193="",LEFT($B193,5)="LEAPS"),0,$D193*100*$E193)</f>
      </c>
    </row>
    <row r="194" spans="1:19" x14ac:dyDescent="0.25">
      <c r="A194" s="13"/>
      <c r="B194" s="14"/>
      <c r="C194" s="15"/>
      <c r="D194" s="15"/>
      <c r="E194" s="16"/>
      <c r="F194" s="17"/>
      <c r="G194" s="17"/>
      <c r="H194" s="14"/>
      <c r="I194" s="17"/>
      <c r="J194" s="15"/>
      <c r="K194" s="15"/>
      <c r="L194" s="15"/>
      <c r="M194" s="9">
        <f>IF($A194="","",IF(LEFT($B194,5)="LEAPS",$D194,$C194)*100*$E194)</f>
      </c>
      <c r="N194" s="10">
        <f>IF(OR($A194="",ISNUMBER(MATCH(LOWER($H194),{"open",""},0))),"",IF(LEFT($B194,5)="LEAPS",-1,1)*($D194-IF(ISNUMBER(MATCH(LOWER($H194),{"closed"},0)),$J194,0))*100*$E194-$K194-$L194)</f>
      </c>
      <c r="O194" s="11">
        <f>IF(OR($A194="",$F194=""),"",MAX(1,IF(ISNUMBER(MATCH(LOWER($H194),{"open",""},0)),MIN(TODAY(),$G194),IF($I194="",$G194,$I194))-$F194))</f>
      </c>
      <c r="P194" s="12">
        <f>IF(OR($N194="",$M194="",$M194=0),"",$N194/$M194)</f>
      </c>
      <c r="Q194" s="12">
        <f>IF(OR($P194="",$O194=""),"",$P194*365/$O194)</f>
      </c>
      <c r="R194">
        <f>IF($N194="",0,$M194*$O194)</f>
      </c>
      <c r="S194">
        <f>IF(OR($A194="",LEFT($B194,5)="LEAPS"),0,$D194*100*$E194)</f>
      </c>
    </row>
    <row r="195" spans="1:19" x14ac:dyDescent="0.25">
      <c r="A195" s="13"/>
      <c r="B195" s="14"/>
      <c r="C195" s="15"/>
      <c r="D195" s="15"/>
      <c r="E195" s="16"/>
      <c r="F195" s="17"/>
      <c r="G195" s="17"/>
      <c r="H195" s="14"/>
      <c r="I195" s="17"/>
      <c r="J195" s="15"/>
      <c r="K195" s="15"/>
      <c r="L195" s="15"/>
      <c r="M195" s="9">
        <f>IF($A195="","",IF(LEFT($B195,5)="LEAPS",$D195,$C195)*100*$E195)</f>
      </c>
      <c r="N195" s="10">
        <f>IF(OR($A195="",ISNUMBER(MATCH(LOWER($H195),{"open",""},0))),"",IF(LEFT($B195,5)="LEAPS",-1,1)*($D195-IF(ISNUMBER(MATCH(LOWER($H195),{"closed"},0)),$J195,0))*100*$E195-$K195-$L195)</f>
      </c>
      <c r="O195" s="11">
        <f>IF(OR($A195="",$F195=""),"",MAX(1,IF(ISNUMBER(MATCH(LOWER($H195),{"open",""},0)),MIN(TODAY(),$G195),IF($I195="",$G195,$I195))-$F195))</f>
      </c>
      <c r="P195" s="12">
        <f>IF(OR($N195="",$M195="",$M195=0),"",$N195/$M195)</f>
      </c>
      <c r="Q195" s="12">
        <f>IF(OR($P195="",$O195=""),"",$P195*365/$O195)</f>
      </c>
      <c r="R195">
        <f>IF($N195="",0,$M195*$O195)</f>
      </c>
      <c r="S195">
        <f>IF(OR($A195="",LEFT($B195,5)="LEAPS"),0,$D195*100*$E195)</f>
      </c>
    </row>
    <row r="196" spans="1:19" x14ac:dyDescent="0.25">
      <c r="A196" s="13"/>
      <c r="B196" s="14"/>
      <c r="C196" s="15"/>
      <c r="D196" s="15"/>
      <c r="E196" s="16"/>
      <c r="F196" s="17"/>
      <c r="G196" s="17"/>
      <c r="H196" s="14"/>
      <c r="I196" s="17"/>
      <c r="J196" s="15"/>
      <c r="K196" s="15"/>
      <c r="L196" s="15"/>
      <c r="M196" s="9">
        <f>IF($A196="","",IF(LEFT($B196,5)="LEAPS",$D196,$C196)*100*$E196)</f>
      </c>
      <c r="N196" s="10">
        <f>IF(OR($A196="",ISNUMBER(MATCH(LOWER($H196),{"open",""},0))),"",IF(LEFT($B196,5)="LEAPS",-1,1)*($D196-IF(ISNUMBER(MATCH(LOWER($H196),{"closed"},0)),$J196,0))*100*$E196-$K196-$L196)</f>
      </c>
      <c r="O196" s="11">
        <f>IF(OR($A196="",$F196=""),"",MAX(1,IF(ISNUMBER(MATCH(LOWER($H196),{"open",""},0)),MIN(TODAY(),$G196),IF($I196="",$G196,$I196))-$F196))</f>
      </c>
      <c r="P196" s="12">
        <f>IF(OR($N196="",$M196="",$M196=0),"",$N196/$M196)</f>
      </c>
      <c r="Q196" s="12">
        <f>IF(OR($P196="",$O196=""),"",$P196*365/$O196)</f>
      </c>
      <c r="R196">
        <f>IF($N196="",0,$M196*$O196)</f>
      </c>
      <c r="S196">
        <f>IF(OR($A196="",LEFT($B196,5)="LEAPS"),0,$D196*100*$E196)</f>
      </c>
    </row>
    <row r="197" spans="1:19" x14ac:dyDescent="0.25">
      <c r="A197" s="13"/>
      <c r="B197" s="14"/>
      <c r="C197" s="15"/>
      <c r="D197" s="15"/>
      <c r="E197" s="16"/>
      <c r="F197" s="17"/>
      <c r="G197" s="17"/>
      <c r="H197" s="14"/>
      <c r="I197" s="17"/>
      <c r="J197" s="15"/>
      <c r="K197" s="15"/>
      <c r="L197" s="15"/>
      <c r="M197" s="9">
        <f>IF($A197="","",IF(LEFT($B197,5)="LEAPS",$D197,$C197)*100*$E197)</f>
      </c>
      <c r="N197" s="10">
        <f>IF(OR($A197="",ISNUMBER(MATCH(LOWER($H197),{"open",""},0))),"",IF(LEFT($B197,5)="LEAPS",-1,1)*($D197-IF(ISNUMBER(MATCH(LOWER($H197),{"closed"},0)),$J197,0))*100*$E197-$K197-$L197)</f>
      </c>
      <c r="O197" s="11">
        <f>IF(OR($A197="",$F197=""),"",MAX(1,IF(ISNUMBER(MATCH(LOWER($H197),{"open",""},0)),MIN(TODAY(),$G197),IF($I197="",$G197,$I197))-$F197))</f>
      </c>
      <c r="P197" s="12">
        <f>IF(OR($N197="",$M197="",$M197=0),"",$N197/$M197)</f>
      </c>
      <c r="Q197" s="12">
        <f>IF(OR($P197="",$O197=""),"",$P197*365/$O197)</f>
      </c>
      <c r="R197">
        <f>IF($N197="",0,$M197*$O197)</f>
      </c>
      <c r="S197">
        <f>IF(OR($A197="",LEFT($B197,5)="LEAPS"),0,$D197*100*$E197)</f>
      </c>
    </row>
    <row r="198" spans="1:19" x14ac:dyDescent="0.25">
      <c r="A198" s="13"/>
      <c r="B198" s="14"/>
      <c r="C198" s="15"/>
      <c r="D198" s="15"/>
      <c r="E198" s="16"/>
      <c r="F198" s="17"/>
      <c r="G198" s="17"/>
      <c r="H198" s="14"/>
      <c r="I198" s="17"/>
      <c r="J198" s="15"/>
      <c r="K198" s="15"/>
      <c r="L198" s="15"/>
      <c r="M198" s="9">
        <f>IF($A198="","",IF(LEFT($B198,5)="LEAPS",$D198,$C198)*100*$E198)</f>
      </c>
      <c r="N198" s="10">
        <f>IF(OR($A198="",ISNUMBER(MATCH(LOWER($H198),{"open",""},0))),"",IF(LEFT($B198,5)="LEAPS",-1,1)*($D198-IF(ISNUMBER(MATCH(LOWER($H198),{"closed"},0)),$J198,0))*100*$E198-$K198-$L198)</f>
      </c>
      <c r="O198" s="11">
        <f>IF(OR($A198="",$F198=""),"",MAX(1,IF(ISNUMBER(MATCH(LOWER($H198),{"open",""},0)),MIN(TODAY(),$G198),IF($I198="",$G198,$I198))-$F198))</f>
      </c>
      <c r="P198" s="12">
        <f>IF(OR($N198="",$M198="",$M198=0),"",$N198/$M198)</f>
      </c>
      <c r="Q198" s="12">
        <f>IF(OR($P198="",$O198=""),"",$P198*365/$O198)</f>
      </c>
      <c r="R198">
        <f>IF($N198="",0,$M198*$O198)</f>
      </c>
      <c r="S198">
        <f>IF(OR($A198="",LEFT($B198,5)="LEAPS"),0,$D198*100*$E198)</f>
      </c>
    </row>
    <row r="199" spans="1:19" x14ac:dyDescent="0.25">
      <c r="A199" s="13"/>
      <c r="B199" s="14"/>
      <c r="C199" s="15"/>
      <c r="D199" s="15"/>
      <c r="E199" s="16"/>
      <c r="F199" s="17"/>
      <c r="G199" s="17"/>
      <c r="H199" s="14"/>
      <c r="I199" s="17"/>
      <c r="J199" s="15"/>
      <c r="K199" s="15"/>
      <c r="L199" s="15"/>
      <c r="M199" s="9">
        <f>IF($A199="","",IF(LEFT($B199,5)="LEAPS",$D199,$C199)*100*$E199)</f>
      </c>
      <c r="N199" s="10">
        <f>IF(OR($A199="",ISNUMBER(MATCH(LOWER($H199),{"open",""},0))),"",IF(LEFT($B199,5)="LEAPS",-1,1)*($D199-IF(ISNUMBER(MATCH(LOWER($H199),{"closed"},0)),$J199,0))*100*$E199-$K199-$L199)</f>
      </c>
      <c r="O199" s="11">
        <f>IF(OR($A199="",$F199=""),"",MAX(1,IF(ISNUMBER(MATCH(LOWER($H199),{"open",""},0)),MIN(TODAY(),$G199),IF($I199="",$G199,$I199))-$F199))</f>
      </c>
      <c r="P199" s="12">
        <f>IF(OR($N199="",$M199="",$M199=0),"",$N199/$M199)</f>
      </c>
      <c r="Q199" s="12">
        <f>IF(OR($P199="",$O199=""),"",$P199*365/$O199)</f>
      </c>
      <c r="R199">
        <f>IF($N199="",0,$M199*$O199)</f>
      </c>
      <c r="S199">
        <f>IF(OR($A199="",LEFT($B199,5)="LEAPS"),0,$D199*100*$E199)</f>
      </c>
    </row>
    <row r="200" spans="1:19" x14ac:dyDescent="0.25">
      <c r="A200" s="13"/>
      <c r="B200" s="14"/>
      <c r="C200" s="15"/>
      <c r="D200" s="15"/>
      <c r="E200" s="16"/>
      <c r="F200" s="17"/>
      <c r="G200" s="17"/>
      <c r="H200" s="14"/>
      <c r="I200" s="17"/>
      <c r="J200" s="15"/>
      <c r="K200" s="15"/>
      <c r="L200" s="15"/>
      <c r="M200" s="9">
        <f>IF($A200="","",IF(LEFT($B200,5)="LEAPS",$D200,$C200)*100*$E200)</f>
      </c>
      <c r="N200" s="10">
        <f>IF(OR($A200="",ISNUMBER(MATCH(LOWER($H200),{"open",""},0))),"",IF(LEFT($B200,5)="LEAPS",-1,1)*($D200-IF(ISNUMBER(MATCH(LOWER($H200),{"closed"},0)),$J200,0))*100*$E200-$K200-$L200)</f>
      </c>
      <c r="O200" s="11">
        <f>IF(OR($A200="",$F200=""),"",MAX(1,IF(ISNUMBER(MATCH(LOWER($H200),{"open",""},0)),MIN(TODAY(),$G200),IF($I200="",$G200,$I200))-$F200))</f>
      </c>
      <c r="P200" s="12">
        <f>IF(OR($N200="",$M200="",$M200=0),"",$N200/$M200)</f>
      </c>
      <c r="Q200" s="12">
        <f>IF(OR($P200="",$O200=""),"",$P200*365/$O200)</f>
      </c>
      <c r="R200">
        <f>IF($N200="",0,$M200*$O200)</f>
      </c>
      <c r="S200">
        <f>IF(OR($A200="",LEFT($B200,5)="LEAPS"),0,$D200*100*$E200)</f>
      </c>
    </row>
    <row r="201" spans="1:19" x14ac:dyDescent="0.25">
      <c r="A201" s="13"/>
      <c r="B201" s="14"/>
      <c r="C201" s="15"/>
      <c r="D201" s="15"/>
      <c r="E201" s="16"/>
      <c r="F201" s="17"/>
      <c r="G201" s="17"/>
      <c r="H201" s="14"/>
      <c r="I201" s="17"/>
      <c r="J201" s="15"/>
      <c r="K201" s="15"/>
      <c r="L201" s="15"/>
      <c r="M201" s="9">
        <f>IF($A201="","",IF(LEFT($B201,5)="LEAPS",$D201,$C201)*100*$E201)</f>
      </c>
      <c r="N201" s="10">
        <f>IF(OR($A201="",ISNUMBER(MATCH(LOWER($H201),{"open",""},0))),"",IF(LEFT($B201,5)="LEAPS",-1,1)*($D201-IF(ISNUMBER(MATCH(LOWER($H201),{"closed"},0)),$J201,0))*100*$E201-$K201-$L201)</f>
      </c>
      <c r="O201" s="11">
        <f>IF(OR($A201="",$F201=""),"",MAX(1,IF(ISNUMBER(MATCH(LOWER($H201),{"open",""},0)),MIN(TODAY(),$G201),IF($I201="",$G201,$I201))-$F201))</f>
      </c>
      <c r="P201" s="12">
        <f>IF(OR($N201="",$M201="",$M201=0),"",$N201/$M201)</f>
      </c>
      <c r="Q201" s="12">
        <f>IF(OR($P201="",$O201=""),"",$P201*365/$O201)</f>
      </c>
      <c r="R201">
        <f>IF($N201="",0,$M201*$O201)</f>
      </c>
      <c r="S201">
        <f>IF(OR($A201="",LEFT($B201,5)="LEAPS"),0,$D201*100*$E201)</f>
      </c>
    </row>
    <row r="202" spans="1:19" x14ac:dyDescent="0.25">
      <c r="A202" s="13"/>
      <c r="B202" s="14"/>
      <c r="C202" s="15"/>
      <c r="D202" s="15"/>
      <c r="E202" s="16"/>
      <c r="F202" s="17"/>
      <c r="G202" s="17"/>
      <c r="H202" s="14"/>
      <c r="I202" s="17"/>
      <c r="J202" s="15"/>
      <c r="K202" s="15"/>
      <c r="L202" s="15"/>
      <c r="M202" s="9">
        <f>IF($A202="","",IF(LEFT($B202,5)="LEAPS",$D202,$C202)*100*$E202)</f>
      </c>
      <c r="N202" s="10">
        <f>IF(OR($A202="",ISNUMBER(MATCH(LOWER($H202),{"open",""},0))),"",IF(LEFT($B202,5)="LEAPS",-1,1)*($D202-IF(ISNUMBER(MATCH(LOWER($H202),{"closed"},0)),$J202,0))*100*$E202-$K202-$L202)</f>
      </c>
      <c r="O202" s="11">
        <f>IF(OR($A202="",$F202=""),"",MAX(1,IF(ISNUMBER(MATCH(LOWER($H202),{"open",""},0)),MIN(TODAY(),$G202),IF($I202="",$G202,$I202))-$F202))</f>
      </c>
      <c r="P202" s="12">
        <f>IF(OR($N202="",$M202="",$M202=0),"",$N202/$M202)</f>
      </c>
      <c r="Q202" s="12">
        <f>IF(OR($P202="",$O202=""),"",$P202*365/$O202)</f>
      </c>
      <c r="R202">
        <f>IF($N202="",0,$M202*$O202)</f>
      </c>
      <c r="S202">
        <f>IF(OR($A202="",LEFT($B202,5)="LEAPS"),0,$D202*100*$E202)</f>
      </c>
    </row>
    <row r="203" spans="1:19" x14ac:dyDescent="0.25">
      <c r="A203" s="13"/>
      <c r="B203" s="14"/>
      <c r="C203" s="15"/>
      <c r="D203" s="15"/>
      <c r="E203" s="16"/>
      <c r="F203" s="17"/>
      <c r="G203" s="17"/>
      <c r="H203" s="14"/>
      <c r="I203" s="17"/>
      <c r="J203" s="15"/>
      <c r="K203" s="15"/>
      <c r="L203" s="15"/>
      <c r="M203" s="9">
        <f>IF($A203="","",IF(LEFT($B203,5)="LEAPS",$D203,$C203)*100*$E203)</f>
      </c>
      <c r="N203" s="10">
        <f>IF(OR($A203="",ISNUMBER(MATCH(LOWER($H203),{"open",""},0))),"",IF(LEFT($B203,5)="LEAPS",-1,1)*($D203-IF(ISNUMBER(MATCH(LOWER($H203),{"closed"},0)),$J203,0))*100*$E203-$K203-$L203)</f>
      </c>
      <c r="O203" s="11">
        <f>IF(OR($A203="",$F203=""),"",MAX(1,IF(ISNUMBER(MATCH(LOWER($H203),{"open",""},0)),MIN(TODAY(),$G203),IF($I203="",$G203,$I203))-$F203))</f>
      </c>
      <c r="P203" s="12">
        <f>IF(OR($N203="",$M203="",$M203=0),"",$N203/$M203)</f>
      </c>
      <c r="Q203" s="12">
        <f>IF(OR($P203="",$O203=""),"",$P203*365/$O203)</f>
      </c>
      <c r="R203">
        <f>IF($N203="",0,$M203*$O203)</f>
      </c>
      <c r="S203">
        <f>IF(OR($A203="",LEFT($B203,5)="LEAPS"),0,$D203*100*$E203)</f>
      </c>
    </row>
    <row r="204" spans="1:19" x14ac:dyDescent="0.25">
      <c r="A204" s="13"/>
      <c r="B204" s="14"/>
      <c r="C204" s="15"/>
      <c r="D204" s="15"/>
      <c r="E204" s="16"/>
      <c r="F204" s="17"/>
      <c r="G204" s="17"/>
      <c r="H204" s="14"/>
      <c r="I204" s="17"/>
      <c r="J204" s="15"/>
      <c r="K204" s="15"/>
      <c r="L204" s="15"/>
      <c r="M204" s="9">
        <f>IF($A204="","",IF(LEFT($B204,5)="LEAPS",$D204,$C204)*100*$E204)</f>
      </c>
      <c r="N204" s="10">
        <f>IF(OR($A204="",ISNUMBER(MATCH(LOWER($H204),{"open",""},0))),"",IF(LEFT($B204,5)="LEAPS",-1,1)*($D204-IF(ISNUMBER(MATCH(LOWER($H204),{"closed"},0)),$J204,0))*100*$E204-$K204-$L204)</f>
      </c>
      <c r="O204" s="11">
        <f>IF(OR($A204="",$F204=""),"",MAX(1,IF(ISNUMBER(MATCH(LOWER($H204),{"open",""},0)),MIN(TODAY(),$G204),IF($I204="",$G204,$I204))-$F204))</f>
      </c>
      <c r="P204" s="12">
        <f>IF(OR($N204="",$M204="",$M204=0),"",$N204/$M204)</f>
      </c>
      <c r="Q204" s="12">
        <f>IF(OR($P204="",$O204=""),"",$P204*365/$O204)</f>
      </c>
      <c r="R204">
        <f>IF($N204="",0,$M204*$O204)</f>
      </c>
      <c r="S204">
        <f>IF(OR($A204="",LEFT($B204,5)="LEAPS"),0,$D204*100*$E204)</f>
      </c>
    </row>
    <row r="205" spans="1:19" x14ac:dyDescent="0.25">
      <c r="A205" s="13"/>
      <c r="B205" s="14"/>
      <c r="C205" s="15"/>
      <c r="D205" s="15"/>
      <c r="E205" s="16"/>
      <c r="F205" s="17"/>
      <c r="G205" s="17"/>
      <c r="H205" s="14"/>
      <c r="I205" s="17"/>
      <c r="J205" s="15"/>
      <c r="K205" s="15"/>
      <c r="L205" s="15"/>
      <c r="M205" s="9">
        <f>IF($A205="","",IF(LEFT($B205,5)="LEAPS",$D205,$C205)*100*$E205)</f>
      </c>
      <c r="N205" s="10">
        <f>IF(OR($A205="",ISNUMBER(MATCH(LOWER($H205),{"open",""},0))),"",IF(LEFT($B205,5)="LEAPS",-1,1)*($D205-IF(ISNUMBER(MATCH(LOWER($H205),{"closed"},0)),$J205,0))*100*$E205-$K205-$L205)</f>
      </c>
      <c r="O205" s="11">
        <f>IF(OR($A205="",$F205=""),"",MAX(1,IF(ISNUMBER(MATCH(LOWER($H205),{"open",""},0)),MIN(TODAY(),$G205),IF($I205="",$G205,$I205))-$F205))</f>
      </c>
      <c r="P205" s="12">
        <f>IF(OR($N205="",$M205="",$M205=0),"",$N205/$M205)</f>
      </c>
      <c r="Q205" s="12">
        <f>IF(OR($P205="",$O205=""),"",$P205*365/$O205)</f>
      </c>
      <c r="R205">
        <f>IF($N205="",0,$M205*$O205)</f>
      </c>
      <c r="S205">
        <f>IF(OR($A205="",LEFT($B205,5)="LEAPS"),0,$D205*100*$E205)</f>
      </c>
    </row>
    <row r="206" spans="1:19" x14ac:dyDescent="0.25">
      <c r="A206" s="13"/>
      <c r="B206" s="14"/>
      <c r="C206" s="15"/>
      <c r="D206" s="15"/>
      <c r="E206" s="16"/>
      <c r="F206" s="17"/>
      <c r="G206" s="17"/>
      <c r="H206" s="14"/>
      <c r="I206" s="17"/>
      <c r="J206" s="15"/>
      <c r="K206" s="15"/>
      <c r="L206" s="15"/>
      <c r="M206" s="9">
        <f>IF($A206="","",IF(LEFT($B206,5)="LEAPS",$D206,$C206)*100*$E206)</f>
      </c>
      <c r="N206" s="10">
        <f>IF(OR($A206="",ISNUMBER(MATCH(LOWER($H206),{"open",""},0))),"",IF(LEFT($B206,5)="LEAPS",-1,1)*($D206-IF(ISNUMBER(MATCH(LOWER($H206),{"closed"},0)),$J206,0))*100*$E206-$K206-$L206)</f>
      </c>
      <c r="O206" s="11">
        <f>IF(OR($A206="",$F206=""),"",MAX(1,IF(ISNUMBER(MATCH(LOWER($H206),{"open",""},0)),MIN(TODAY(),$G206),IF($I206="",$G206,$I206))-$F206))</f>
      </c>
      <c r="P206" s="12">
        <f>IF(OR($N206="",$M206="",$M206=0),"",$N206/$M206)</f>
      </c>
      <c r="Q206" s="12">
        <f>IF(OR($P206="",$O206=""),"",$P206*365/$O206)</f>
      </c>
      <c r="R206">
        <f>IF($N206="",0,$M206*$O206)</f>
      </c>
      <c r="S206">
        <f>IF(OR($A206="",LEFT($B206,5)="LEAPS"),0,$D206*100*$E206)</f>
      </c>
    </row>
    <row r="207" spans="1:19" x14ac:dyDescent="0.25">
      <c r="A207" s="13"/>
      <c r="B207" s="14"/>
      <c r="C207" s="15"/>
      <c r="D207" s="15"/>
      <c r="E207" s="16"/>
      <c r="F207" s="17"/>
      <c r="G207" s="17"/>
      <c r="H207" s="14"/>
      <c r="I207" s="17"/>
      <c r="J207" s="15"/>
      <c r="K207" s="15"/>
      <c r="L207" s="15"/>
      <c r="M207" s="9">
        <f>IF($A207="","",IF(LEFT($B207,5)="LEAPS",$D207,$C207)*100*$E207)</f>
      </c>
      <c r="N207" s="10">
        <f>IF(OR($A207="",ISNUMBER(MATCH(LOWER($H207),{"open",""},0))),"",IF(LEFT($B207,5)="LEAPS",-1,1)*($D207-IF(ISNUMBER(MATCH(LOWER($H207),{"closed"},0)),$J207,0))*100*$E207-$K207-$L207)</f>
      </c>
      <c r="O207" s="11">
        <f>IF(OR($A207="",$F207=""),"",MAX(1,IF(ISNUMBER(MATCH(LOWER($H207),{"open",""},0)),MIN(TODAY(),$G207),IF($I207="",$G207,$I207))-$F207))</f>
      </c>
      <c r="P207" s="12">
        <f>IF(OR($N207="",$M207="",$M207=0),"",$N207/$M207)</f>
      </c>
      <c r="Q207" s="12">
        <f>IF(OR($P207="",$O207=""),"",$P207*365/$O207)</f>
      </c>
      <c r="R207">
        <f>IF($N207="",0,$M207*$O207)</f>
      </c>
      <c r="S207">
        <f>IF(OR($A207="",LEFT($B207,5)="LEAPS"),0,$D207*100*$E207)</f>
      </c>
    </row>
    <row r="208" spans="1:19" x14ac:dyDescent="0.25">
      <c r="A208" s="13"/>
      <c r="B208" s="14"/>
      <c r="C208" s="15"/>
      <c r="D208" s="15"/>
      <c r="E208" s="16"/>
      <c r="F208" s="17"/>
      <c r="G208" s="17"/>
      <c r="H208" s="14"/>
      <c r="I208" s="17"/>
      <c r="J208" s="15"/>
      <c r="K208" s="15"/>
      <c r="L208" s="15"/>
      <c r="M208" s="9">
        <f>IF($A208="","",IF(LEFT($B208,5)="LEAPS",$D208,$C208)*100*$E208)</f>
      </c>
      <c r="N208" s="10">
        <f>IF(OR($A208="",ISNUMBER(MATCH(LOWER($H208),{"open",""},0))),"",IF(LEFT($B208,5)="LEAPS",-1,1)*($D208-IF(ISNUMBER(MATCH(LOWER($H208),{"closed"},0)),$J208,0))*100*$E208-$K208-$L208)</f>
      </c>
      <c r="O208" s="11">
        <f>IF(OR($A208="",$F208=""),"",MAX(1,IF(ISNUMBER(MATCH(LOWER($H208),{"open",""},0)),MIN(TODAY(),$G208),IF($I208="",$G208,$I208))-$F208))</f>
      </c>
      <c r="P208" s="12">
        <f>IF(OR($N208="",$M208="",$M208=0),"",$N208/$M208)</f>
      </c>
      <c r="Q208" s="12">
        <f>IF(OR($P208="",$O208=""),"",$P208*365/$O208)</f>
      </c>
      <c r="R208">
        <f>IF($N208="",0,$M208*$O208)</f>
      </c>
      <c r="S208">
        <f>IF(OR($A208="",LEFT($B208,5)="LEAPS"),0,$D208*100*$E208)</f>
      </c>
    </row>
    <row r="209" spans="1:19" x14ac:dyDescent="0.25">
      <c r="A209" s="13"/>
      <c r="B209" s="14"/>
      <c r="C209" s="15"/>
      <c r="D209" s="15"/>
      <c r="E209" s="16"/>
      <c r="F209" s="17"/>
      <c r="G209" s="17"/>
      <c r="H209" s="14"/>
      <c r="I209" s="17"/>
      <c r="J209" s="15"/>
      <c r="K209" s="15"/>
      <c r="L209" s="15"/>
      <c r="M209" s="9">
        <f>IF($A209="","",IF(LEFT($B209,5)="LEAPS",$D209,$C209)*100*$E209)</f>
      </c>
      <c r="N209" s="10">
        <f>IF(OR($A209="",ISNUMBER(MATCH(LOWER($H209),{"open",""},0))),"",IF(LEFT($B209,5)="LEAPS",-1,1)*($D209-IF(ISNUMBER(MATCH(LOWER($H209),{"closed"},0)),$J209,0))*100*$E209-$K209-$L209)</f>
      </c>
      <c r="O209" s="11">
        <f>IF(OR($A209="",$F209=""),"",MAX(1,IF(ISNUMBER(MATCH(LOWER($H209),{"open",""},0)),MIN(TODAY(),$G209),IF($I209="",$G209,$I209))-$F209))</f>
      </c>
      <c r="P209" s="12">
        <f>IF(OR($N209="",$M209="",$M209=0),"",$N209/$M209)</f>
      </c>
      <c r="Q209" s="12">
        <f>IF(OR($P209="",$O209=""),"",$P209*365/$O209)</f>
      </c>
      <c r="R209">
        <f>IF($N209="",0,$M209*$O209)</f>
      </c>
      <c r="S209">
        <f>IF(OR($A209="",LEFT($B209,5)="LEAPS"),0,$D209*100*$E209)</f>
      </c>
    </row>
    <row r="210" spans="1:19" x14ac:dyDescent="0.25">
      <c r="A210" s="13"/>
      <c r="B210" s="14"/>
      <c r="C210" s="15"/>
      <c r="D210" s="15"/>
      <c r="E210" s="16"/>
      <c r="F210" s="17"/>
      <c r="G210" s="17"/>
      <c r="H210" s="14"/>
      <c r="I210" s="17"/>
      <c r="J210" s="15"/>
      <c r="K210" s="15"/>
      <c r="L210" s="15"/>
      <c r="M210" s="9">
        <f>IF($A210="","",IF(LEFT($B210,5)="LEAPS",$D210,$C210)*100*$E210)</f>
      </c>
      <c r="N210" s="10">
        <f>IF(OR($A210="",ISNUMBER(MATCH(LOWER($H210),{"open",""},0))),"",IF(LEFT($B210,5)="LEAPS",-1,1)*($D210-IF(ISNUMBER(MATCH(LOWER($H210),{"closed"},0)),$J210,0))*100*$E210-$K210-$L210)</f>
      </c>
      <c r="O210" s="11">
        <f>IF(OR($A210="",$F210=""),"",MAX(1,IF(ISNUMBER(MATCH(LOWER($H210),{"open",""},0)),MIN(TODAY(),$G210),IF($I210="",$G210,$I210))-$F210))</f>
      </c>
      <c r="P210" s="12">
        <f>IF(OR($N210="",$M210="",$M210=0),"",$N210/$M210)</f>
      </c>
      <c r="Q210" s="12">
        <f>IF(OR($P210="",$O210=""),"",$P210*365/$O210)</f>
      </c>
      <c r="R210">
        <f>IF($N210="",0,$M210*$O210)</f>
      </c>
      <c r="S210">
        <f>IF(OR($A210="",LEFT($B210,5)="LEAPS"),0,$D210*100*$E210)</f>
      </c>
    </row>
    <row r="211" spans="1:19" x14ac:dyDescent="0.25">
      <c r="A211" s="13"/>
      <c r="B211" s="14"/>
      <c r="C211" s="15"/>
      <c r="D211" s="15"/>
      <c r="E211" s="16"/>
      <c r="F211" s="17"/>
      <c r="G211" s="17"/>
      <c r="H211" s="14"/>
      <c r="I211" s="17"/>
      <c r="J211" s="15"/>
      <c r="K211" s="15"/>
      <c r="L211" s="15"/>
      <c r="M211" s="9">
        <f>IF($A211="","",IF(LEFT($B211,5)="LEAPS",$D211,$C211)*100*$E211)</f>
      </c>
      <c r="N211" s="10">
        <f>IF(OR($A211="",ISNUMBER(MATCH(LOWER($H211),{"open",""},0))),"",IF(LEFT($B211,5)="LEAPS",-1,1)*($D211-IF(ISNUMBER(MATCH(LOWER($H211),{"closed"},0)),$J211,0))*100*$E211-$K211-$L211)</f>
      </c>
      <c r="O211" s="11">
        <f>IF(OR($A211="",$F211=""),"",MAX(1,IF(ISNUMBER(MATCH(LOWER($H211),{"open",""},0)),MIN(TODAY(),$G211),IF($I211="",$G211,$I211))-$F211))</f>
      </c>
      <c r="P211" s="12">
        <f>IF(OR($N211="",$M211="",$M211=0),"",$N211/$M211)</f>
      </c>
      <c r="Q211" s="12">
        <f>IF(OR($P211="",$O211=""),"",$P211*365/$O211)</f>
      </c>
      <c r="R211">
        <f>IF($N211="",0,$M211*$O211)</f>
      </c>
      <c r="S211">
        <f>IF(OR($A211="",LEFT($B211,5)="LEAPS"),0,$D211*100*$E211)</f>
      </c>
    </row>
    <row r="212" spans="1:19" x14ac:dyDescent="0.25">
      <c r="A212" s="13"/>
      <c r="B212" s="14"/>
      <c r="C212" s="15"/>
      <c r="D212" s="15"/>
      <c r="E212" s="16"/>
      <c r="F212" s="17"/>
      <c r="G212" s="17"/>
      <c r="H212" s="14"/>
      <c r="I212" s="17"/>
      <c r="J212" s="15"/>
      <c r="K212" s="15"/>
      <c r="L212" s="15"/>
      <c r="M212" s="9">
        <f>IF($A212="","",IF(LEFT($B212,5)="LEAPS",$D212,$C212)*100*$E212)</f>
      </c>
      <c r="N212" s="10">
        <f>IF(OR($A212="",ISNUMBER(MATCH(LOWER($H212),{"open",""},0))),"",IF(LEFT($B212,5)="LEAPS",-1,1)*($D212-IF(ISNUMBER(MATCH(LOWER($H212),{"closed"},0)),$J212,0))*100*$E212-$K212-$L212)</f>
      </c>
      <c r="O212" s="11">
        <f>IF(OR($A212="",$F212=""),"",MAX(1,IF(ISNUMBER(MATCH(LOWER($H212),{"open",""},0)),MIN(TODAY(),$G212),IF($I212="",$G212,$I212))-$F212))</f>
      </c>
      <c r="P212" s="12">
        <f>IF(OR($N212="",$M212="",$M212=0),"",$N212/$M212)</f>
      </c>
      <c r="Q212" s="12">
        <f>IF(OR($P212="",$O212=""),"",$P212*365/$O212)</f>
      </c>
      <c r="R212">
        <f>IF($N212="",0,$M212*$O212)</f>
      </c>
      <c r="S212">
        <f>IF(OR($A212="",LEFT($B212,5)="LEAPS"),0,$D212*100*$E212)</f>
      </c>
    </row>
    <row r="213" spans="1:19" x14ac:dyDescent="0.25">
      <c r="A213" s="13"/>
      <c r="B213" s="14"/>
      <c r="C213" s="15"/>
      <c r="D213" s="15"/>
      <c r="E213" s="16"/>
      <c r="F213" s="17"/>
      <c r="G213" s="17"/>
      <c r="H213" s="14"/>
      <c r="I213" s="17"/>
      <c r="J213" s="15"/>
      <c r="K213" s="15"/>
      <c r="L213" s="15"/>
      <c r="M213" s="9">
        <f>IF($A213="","",IF(LEFT($B213,5)="LEAPS",$D213,$C213)*100*$E213)</f>
      </c>
      <c r="N213" s="10">
        <f>IF(OR($A213="",ISNUMBER(MATCH(LOWER($H213),{"open",""},0))),"",IF(LEFT($B213,5)="LEAPS",-1,1)*($D213-IF(ISNUMBER(MATCH(LOWER($H213),{"closed"},0)),$J213,0))*100*$E213-$K213-$L213)</f>
      </c>
      <c r="O213" s="11">
        <f>IF(OR($A213="",$F213=""),"",MAX(1,IF(ISNUMBER(MATCH(LOWER($H213),{"open",""},0)),MIN(TODAY(),$G213),IF($I213="",$G213,$I213))-$F213))</f>
      </c>
      <c r="P213" s="12">
        <f>IF(OR($N213="",$M213="",$M213=0),"",$N213/$M213)</f>
      </c>
      <c r="Q213" s="12">
        <f>IF(OR($P213="",$O213=""),"",$P213*365/$O213)</f>
      </c>
      <c r="R213">
        <f>IF($N213="",0,$M213*$O213)</f>
      </c>
      <c r="S213">
        <f>IF(OR($A213="",LEFT($B213,5)="LEAPS"),0,$D213*100*$E213)</f>
      </c>
    </row>
    <row r="214" spans="1:19" x14ac:dyDescent="0.25">
      <c r="A214" s="13"/>
      <c r="B214" s="14"/>
      <c r="C214" s="15"/>
      <c r="D214" s="15"/>
      <c r="E214" s="16"/>
      <c r="F214" s="17"/>
      <c r="G214" s="17"/>
      <c r="H214" s="14"/>
      <c r="I214" s="17"/>
      <c r="J214" s="15"/>
      <c r="K214" s="15"/>
      <c r="L214" s="15"/>
      <c r="M214" s="9">
        <f>IF($A214="","",IF(LEFT($B214,5)="LEAPS",$D214,$C214)*100*$E214)</f>
      </c>
      <c r="N214" s="10">
        <f>IF(OR($A214="",ISNUMBER(MATCH(LOWER($H214),{"open",""},0))),"",IF(LEFT($B214,5)="LEAPS",-1,1)*($D214-IF(ISNUMBER(MATCH(LOWER($H214),{"closed"},0)),$J214,0))*100*$E214-$K214-$L214)</f>
      </c>
      <c r="O214" s="11">
        <f>IF(OR($A214="",$F214=""),"",MAX(1,IF(ISNUMBER(MATCH(LOWER($H214),{"open",""},0)),MIN(TODAY(),$G214),IF($I214="",$G214,$I214))-$F214))</f>
      </c>
      <c r="P214" s="12">
        <f>IF(OR($N214="",$M214="",$M214=0),"",$N214/$M214)</f>
      </c>
      <c r="Q214" s="12">
        <f>IF(OR($P214="",$O214=""),"",$P214*365/$O214)</f>
      </c>
      <c r="R214">
        <f>IF($N214="",0,$M214*$O214)</f>
      </c>
      <c r="S214">
        <f>IF(OR($A214="",LEFT($B214,5)="LEAPS"),0,$D214*100*$E214)</f>
      </c>
    </row>
    <row r="215" spans="1:19" x14ac:dyDescent="0.25">
      <c r="A215" s="13"/>
      <c r="B215" s="14"/>
      <c r="C215" s="15"/>
      <c r="D215" s="15"/>
      <c r="E215" s="16"/>
      <c r="F215" s="17"/>
      <c r="G215" s="17"/>
      <c r="H215" s="14"/>
      <c r="I215" s="17"/>
      <c r="J215" s="15"/>
      <c r="K215" s="15"/>
      <c r="L215" s="15"/>
      <c r="M215" s="9">
        <f>IF($A215="","",IF(LEFT($B215,5)="LEAPS",$D215,$C215)*100*$E215)</f>
      </c>
      <c r="N215" s="10">
        <f>IF(OR($A215="",ISNUMBER(MATCH(LOWER($H215),{"open",""},0))),"",IF(LEFT($B215,5)="LEAPS",-1,1)*($D215-IF(ISNUMBER(MATCH(LOWER($H215),{"closed"},0)),$J215,0))*100*$E215-$K215-$L215)</f>
      </c>
      <c r="O215" s="11">
        <f>IF(OR($A215="",$F215=""),"",MAX(1,IF(ISNUMBER(MATCH(LOWER($H215),{"open",""},0)),MIN(TODAY(),$G215),IF($I215="",$G215,$I215))-$F215))</f>
      </c>
      <c r="P215" s="12">
        <f>IF(OR($N215="",$M215="",$M215=0),"",$N215/$M215)</f>
      </c>
      <c r="Q215" s="12">
        <f>IF(OR($P215="",$O215=""),"",$P215*365/$O215)</f>
      </c>
      <c r="R215">
        <f>IF($N215="",0,$M215*$O215)</f>
      </c>
      <c r="S215">
        <f>IF(OR($A215="",LEFT($B215,5)="LEAPS"),0,$D215*100*$E215)</f>
      </c>
    </row>
    <row r="216" spans="1:19" x14ac:dyDescent="0.25">
      <c r="A216" s="13"/>
      <c r="B216" s="14"/>
      <c r="C216" s="15"/>
      <c r="D216" s="15"/>
      <c r="E216" s="16"/>
      <c r="F216" s="17"/>
      <c r="G216" s="17"/>
      <c r="H216" s="14"/>
      <c r="I216" s="17"/>
      <c r="J216" s="15"/>
      <c r="K216" s="15"/>
      <c r="L216" s="15"/>
      <c r="M216" s="9">
        <f>IF($A216="","",IF(LEFT($B216,5)="LEAPS",$D216,$C216)*100*$E216)</f>
      </c>
      <c r="N216" s="10">
        <f>IF(OR($A216="",ISNUMBER(MATCH(LOWER($H216),{"open",""},0))),"",IF(LEFT($B216,5)="LEAPS",-1,1)*($D216-IF(ISNUMBER(MATCH(LOWER($H216),{"closed"},0)),$J216,0))*100*$E216-$K216-$L216)</f>
      </c>
      <c r="O216" s="11">
        <f>IF(OR($A216="",$F216=""),"",MAX(1,IF(ISNUMBER(MATCH(LOWER($H216),{"open",""},0)),MIN(TODAY(),$G216),IF($I216="",$G216,$I216))-$F216))</f>
      </c>
      <c r="P216" s="12">
        <f>IF(OR($N216="",$M216="",$M216=0),"",$N216/$M216)</f>
      </c>
      <c r="Q216" s="12">
        <f>IF(OR($P216="",$O216=""),"",$P216*365/$O216)</f>
      </c>
      <c r="R216">
        <f>IF($N216="",0,$M216*$O216)</f>
      </c>
      <c r="S216">
        <f>IF(OR($A216="",LEFT($B216,5)="LEAPS"),0,$D216*100*$E216)</f>
      </c>
    </row>
    <row r="217" spans="1:19" x14ac:dyDescent="0.25">
      <c r="A217" s="13"/>
      <c r="B217" s="14"/>
      <c r="C217" s="15"/>
      <c r="D217" s="15"/>
      <c r="E217" s="16"/>
      <c r="F217" s="17"/>
      <c r="G217" s="17"/>
      <c r="H217" s="14"/>
      <c r="I217" s="17"/>
      <c r="J217" s="15"/>
      <c r="K217" s="15"/>
      <c r="L217" s="15"/>
      <c r="M217" s="9">
        <f>IF($A217="","",IF(LEFT($B217,5)="LEAPS",$D217,$C217)*100*$E217)</f>
      </c>
      <c r="N217" s="10">
        <f>IF(OR($A217="",ISNUMBER(MATCH(LOWER($H217),{"open",""},0))),"",IF(LEFT($B217,5)="LEAPS",-1,1)*($D217-IF(ISNUMBER(MATCH(LOWER($H217),{"closed"},0)),$J217,0))*100*$E217-$K217-$L217)</f>
      </c>
      <c r="O217" s="11">
        <f>IF(OR($A217="",$F217=""),"",MAX(1,IF(ISNUMBER(MATCH(LOWER($H217),{"open",""},0)),MIN(TODAY(),$G217),IF($I217="",$G217,$I217))-$F217))</f>
      </c>
      <c r="P217" s="12">
        <f>IF(OR($N217="",$M217="",$M217=0),"",$N217/$M217)</f>
      </c>
      <c r="Q217" s="12">
        <f>IF(OR($P217="",$O217=""),"",$P217*365/$O217)</f>
      </c>
      <c r="R217">
        <f>IF($N217="",0,$M217*$O217)</f>
      </c>
      <c r="S217">
        <f>IF(OR($A217="",LEFT($B217,5)="LEAPS"),0,$D217*100*$E217)</f>
      </c>
    </row>
    <row r="218" spans="1:19" x14ac:dyDescent="0.25">
      <c r="A218" s="13"/>
      <c r="B218" s="14"/>
      <c r="C218" s="15"/>
      <c r="D218" s="15"/>
      <c r="E218" s="16"/>
      <c r="F218" s="17"/>
      <c r="G218" s="17"/>
      <c r="H218" s="14"/>
      <c r="I218" s="17"/>
      <c r="J218" s="15"/>
      <c r="K218" s="15"/>
      <c r="L218" s="15"/>
      <c r="M218" s="9">
        <f>IF($A218="","",IF(LEFT($B218,5)="LEAPS",$D218,$C218)*100*$E218)</f>
      </c>
      <c r="N218" s="10">
        <f>IF(OR($A218="",ISNUMBER(MATCH(LOWER($H218),{"open",""},0))),"",IF(LEFT($B218,5)="LEAPS",-1,1)*($D218-IF(ISNUMBER(MATCH(LOWER($H218),{"closed"},0)),$J218,0))*100*$E218-$K218-$L218)</f>
      </c>
      <c r="O218" s="11">
        <f>IF(OR($A218="",$F218=""),"",MAX(1,IF(ISNUMBER(MATCH(LOWER($H218),{"open",""},0)),MIN(TODAY(),$G218),IF($I218="",$G218,$I218))-$F218))</f>
      </c>
      <c r="P218" s="12">
        <f>IF(OR($N218="",$M218="",$M218=0),"",$N218/$M218)</f>
      </c>
      <c r="Q218" s="12">
        <f>IF(OR($P218="",$O218=""),"",$P218*365/$O218)</f>
      </c>
      <c r="R218">
        <f>IF($N218="",0,$M218*$O218)</f>
      </c>
      <c r="S218">
        <f>IF(OR($A218="",LEFT($B218,5)="LEAPS"),0,$D218*100*$E218)</f>
      </c>
    </row>
    <row r="219" spans="1:19" x14ac:dyDescent="0.25">
      <c r="A219" s="13"/>
      <c r="B219" s="14"/>
      <c r="C219" s="15"/>
      <c r="D219" s="15"/>
      <c r="E219" s="16"/>
      <c r="F219" s="17"/>
      <c r="G219" s="17"/>
      <c r="H219" s="14"/>
      <c r="I219" s="17"/>
      <c r="J219" s="15"/>
      <c r="K219" s="15"/>
      <c r="L219" s="15"/>
      <c r="M219" s="9">
        <f>IF($A219="","",IF(LEFT($B219,5)="LEAPS",$D219,$C219)*100*$E219)</f>
      </c>
      <c r="N219" s="10">
        <f>IF(OR($A219="",ISNUMBER(MATCH(LOWER($H219),{"open",""},0))),"",IF(LEFT($B219,5)="LEAPS",-1,1)*($D219-IF(ISNUMBER(MATCH(LOWER($H219),{"closed"},0)),$J219,0))*100*$E219-$K219-$L219)</f>
      </c>
      <c r="O219" s="11">
        <f>IF(OR($A219="",$F219=""),"",MAX(1,IF(ISNUMBER(MATCH(LOWER($H219),{"open",""},0)),MIN(TODAY(),$G219),IF($I219="",$G219,$I219))-$F219))</f>
      </c>
      <c r="P219" s="12">
        <f>IF(OR($N219="",$M219="",$M219=0),"",$N219/$M219)</f>
      </c>
      <c r="Q219" s="12">
        <f>IF(OR($P219="",$O219=""),"",$P219*365/$O219)</f>
      </c>
      <c r="R219">
        <f>IF($N219="",0,$M219*$O219)</f>
      </c>
      <c r="S219">
        <f>IF(OR($A219="",LEFT($B219,5)="LEAPS"),0,$D219*100*$E219)</f>
      </c>
    </row>
    <row r="220" spans="1:19" x14ac:dyDescent="0.25">
      <c r="A220" s="13"/>
      <c r="B220" s="14"/>
      <c r="C220" s="15"/>
      <c r="D220" s="15"/>
      <c r="E220" s="16"/>
      <c r="F220" s="17"/>
      <c r="G220" s="17"/>
      <c r="H220" s="14"/>
      <c r="I220" s="17"/>
      <c r="J220" s="15"/>
      <c r="K220" s="15"/>
      <c r="L220" s="15"/>
      <c r="M220" s="9">
        <f>IF($A220="","",IF(LEFT($B220,5)="LEAPS",$D220,$C220)*100*$E220)</f>
      </c>
      <c r="N220" s="10">
        <f>IF(OR($A220="",ISNUMBER(MATCH(LOWER($H220),{"open",""},0))),"",IF(LEFT($B220,5)="LEAPS",-1,1)*($D220-IF(ISNUMBER(MATCH(LOWER($H220),{"closed"},0)),$J220,0))*100*$E220-$K220-$L220)</f>
      </c>
      <c r="O220" s="11">
        <f>IF(OR($A220="",$F220=""),"",MAX(1,IF(ISNUMBER(MATCH(LOWER($H220),{"open",""},0)),MIN(TODAY(),$G220),IF($I220="",$G220,$I220))-$F220))</f>
      </c>
      <c r="P220" s="12">
        <f>IF(OR($N220="",$M220="",$M220=0),"",$N220/$M220)</f>
      </c>
      <c r="Q220" s="12">
        <f>IF(OR($P220="",$O220=""),"",$P220*365/$O220)</f>
      </c>
      <c r="R220">
        <f>IF($N220="",0,$M220*$O220)</f>
      </c>
      <c r="S220">
        <f>IF(OR($A220="",LEFT($B220,5)="LEAPS"),0,$D220*100*$E220)</f>
      </c>
    </row>
    <row r="221" spans="1:19" x14ac:dyDescent="0.25">
      <c r="A221" s="13"/>
      <c r="B221" s="14"/>
      <c r="C221" s="15"/>
      <c r="D221" s="15"/>
      <c r="E221" s="16"/>
      <c r="F221" s="17"/>
      <c r="G221" s="17"/>
      <c r="H221" s="14"/>
      <c r="I221" s="17"/>
      <c r="J221" s="15"/>
      <c r="K221" s="15"/>
      <c r="L221" s="15"/>
      <c r="M221" s="9">
        <f>IF($A221="","",IF(LEFT($B221,5)="LEAPS",$D221,$C221)*100*$E221)</f>
      </c>
      <c r="N221" s="10">
        <f>IF(OR($A221="",ISNUMBER(MATCH(LOWER($H221),{"open",""},0))),"",IF(LEFT($B221,5)="LEAPS",-1,1)*($D221-IF(ISNUMBER(MATCH(LOWER($H221),{"closed"},0)),$J221,0))*100*$E221-$K221-$L221)</f>
      </c>
      <c r="O221" s="11">
        <f>IF(OR($A221="",$F221=""),"",MAX(1,IF(ISNUMBER(MATCH(LOWER($H221),{"open",""},0)),MIN(TODAY(),$G221),IF($I221="",$G221,$I221))-$F221))</f>
      </c>
      <c r="P221" s="12">
        <f>IF(OR($N221="",$M221="",$M221=0),"",$N221/$M221)</f>
      </c>
      <c r="Q221" s="12">
        <f>IF(OR($P221="",$O221=""),"",$P221*365/$O221)</f>
      </c>
      <c r="R221">
        <f>IF($N221="",0,$M221*$O221)</f>
      </c>
      <c r="S221">
        <f>IF(OR($A221="",LEFT($B221,5)="LEAPS"),0,$D221*100*$E221)</f>
      </c>
    </row>
    <row r="222" spans="1:19" x14ac:dyDescent="0.25">
      <c r="A222" s="13"/>
      <c r="B222" s="14"/>
      <c r="C222" s="15"/>
      <c r="D222" s="15"/>
      <c r="E222" s="16"/>
      <c r="F222" s="17"/>
      <c r="G222" s="17"/>
      <c r="H222" s="14"/>
      <c r="I222" s="17"/>
      <c r="J222" s="15"/>
      <c r="K222" s="15"/>
      <c r="L222" s="15"/>
      <c r="M222" s="9">
        <f>IF($A222="","",IF(LEFT($B222,5)="LEAPS",$D222,$C222)*100*$E222)</f>
      </c>
      <c r="N222" s="10">
        <f>IF(OR($A222="",ISNUMBER(MATCH(LOWER($H222),{"open",""},0))),"",IF(LEFT($B222,5)="LEAPS",-1,1)*($D222-IF(ISNUMBER(MATCH(LOWER($H222),{"closed"},0)),$J222,0))*100*$E222-$K222-$L222)</f>
      </c>
      <c r="O222" s="11">
        <f>IF(OR($A222="",$F222=""),"",MAX(1,IF(ISNUMBER(MATCH(LOWER($H222),{"open",""},0)),MIN(TODAY(),$G222),IF($I222="",$G222,$I222))-$F222))</f>
      </c>
      <c r="P222" s="12">
        <f>IF(OR($N222="",$M222="",$M222=0),"",$N222/$M222)</f>
      </c>
      <c r="Q222" s="12">
        <f>IF(OR($P222="",$O222=""),"",$P222*365/$O222)</f>
      </c>
      <c r="R222">
        <f>IF($N222="",0,$M222*$O222)</f>
      </c>
      <c r="S222">
        <f>IF(OR($A222="",LEFT($B222,5)="LEAPS"),0,$D222*100*$E222)</f>
      </c>
    </row>
    <row r="223" spans="1:19" x14ac:dyDescent="0.25">
      <c r="A223" s="13"/>
      <c r="B223" s="14"/>
      <c r="C223" s="15"/>
      <c r="D223" s="15"/>
      <c r="E223" s="16"/>
      <c r="F223" s="17"/>
      <c r="G223" s="17"/>
      <c r="H223" s="14"/>
      <c r="I223" s="17"/>
      <c r="J223" s="15"/>
      <c r="K223" s="15"/>
      <c r="L223" s="15"/>
      <c r="M223" s="9">
        <f>IF($A223="","",IF(LEFT($B223,5)="LEAPS",$D223,$C223)*100*$E223)</f>
      </c>
      <c r="N223" s="10">
        <f>IF(OR($A223="",ISNUMBER(MATCH(LOWER($H223),{"open",""},0))),"",IF(LEFT($B223,5)="LEAPS",-1,1)*($D223-IF(ISNUMBER(MATCH(LOWER($H223),{"closed"},0)),$J223,0))*100*$E223-$K223-$L223)</f>
      </c>
      <c r="O223" s="11">
        <f>IF(OR($A223="",$F223=""),"",MAX(1,IF(ISNUMBER(MATCH(LOWER($H223),{"open",""},0)),MIN(TODAY(),$G223),IF($I223="",$G223,$I223))-$F223))</f>
      </c>
      <c r="P223" s="12">
        <f>IF(OR($N223="",$M223="",$M223=0),"",$N223/$M223)</f>
      </c>
      <c r="Q223" s="12">
        <f>IF(OR($P223="",$O223=""),"",$P223*365/$O223)</f>
      </c>
      <c r="R223">
        <f>IF($N223="",0,$M223*$O223)</f>
      </c>
      <c r="S223">
        <f>IF(OR($A223="",LEFT($B223,5)="LEAPS"),0,$D223*100*$E223)</f>
      </c>
    </row>
    <row r="224" spans="1:19" x14ac:dyDescent="0.25">
      <c r="A224" s="13"/>
      <c r="B224" s="14"/>
      <c r="C224" s="15"/>
      <c r="D224" s="15"/>
      <c r="E224" s="16"/>
      <c r="F224" s="17"/>
      <c r="G224" s="17"/>
      <c r="H224" s="14"/>
      <c r="I224" s="17"/>
      <c r="J224" s="15"/>
      <c r="K224" s="15"/>
      <c r="L224" s="15"/>
      <c r="M224" s="9">
        <f>IF($A224="","",IF(LEFT($B224,5)="LEAPS",$D224,$C224)*100*$E224)</f>
      </c>
      <c r="N224" s="10">
        <f>IF(OR($A224="",ISNUMBER(MATCH(LOWER($H224),{"open",""},0))),"",IF(LEFT($B224,5)="LEAPS",-1,1)*($D224-IF(ISNUMBER(MATCH(LOWER($H224),{"closed"},0)),$J224,0))*100*$E224-$K224-$L224)</f>
      </c>
      <c r="O224" s="11">
        <f>IF(OR($A224="",$F224=""),"",MAX(1,IF(ISNUMBER(MATCH(LOWER($H224),{"open",""},0)),MIN(TODAY(),$G224),IF($I224="",$G224,$I224))-$F224))</f>
      </c>
      <c r="P224" s="12">
        <f>IF(OR($N224="",$M224="",$M224=0),"",$N224/$M224)</f>
      </c>
      <c r="Q224" s="12">
        <f>IF(OR($P224="",$O224=""),"",$P224*365/$O224)</f>
      </c>
      <c r="R224">
        <f>IF($N224="",0,$M224*$O224)</f>
      </c>
      <c r="S224">
        <f>IF(OR($A224="",LEFT($B224,5)="LEAPS"),0,$D224*100*$E224)</f>
      </c>
    </row>
    <row r="225" spans="1:19" x14ac:dyDescent="0.25">
      <c r="A225" s="13"/>
      <c r="B225" s="14"/>
      <c r="C225" s="15"/>
      <c r="D225" s="15"/>
      <c r="E225" s="16"/>
      <c r="F225" s="17"/>
      <c r="G225" s="17"/>
      <c r="H225" s="14"/>
      <c r="I225" s="17"/>
      <c r="J225" s="15"/>
      <c r="K225" s="15"/>
      <c r="L225" s="15"/>
      <c r="M225" s="9">
        <f>IF($A225="","",IF(LEFT($B225,5)="LEAPS",$D225,$C225)*100*$E225)</f>
      </c>
      <c r="N225" s="10">
        <f>IF(OR($A225="",ISNUMBER(MATCH(LOWER($H225),{"open",""},0))),"",IF(LEFT($B225,5)="LEAPS",-1,1)*($D225-IF(ISNUMBER(MATCH(LOWER($H225),{"closed"},0)),$J225,0))*100*$E225-$K225-$L225)</f>
      </c>
      <c r="O225" s="11">
        <f>IF(OR($A225="",$F225=""),"",MAX(1,IF(ISNUMBER(MATCH(LOWER($H225),{"open",""},0)),MIN(TODAY(),$G225),IF($I225="",$G225,$I225))-$F225))</f>
      </c>
      <c r="P225" s="12">
        <f>IF(OR($N225="",$M225="",$M225=0),"",$N225/$M225)</f>
      </c>
      <c r="Q225" s="12">
        <f>IF(OR($P225="",$O225=""),"",$P225*365/$O225)</f>
      </c>
      <c r="R225">
        <f>IF($N225="",0,$M225*$O225)</f>
      </c>
      <c r="S225">
        <f>IF(OR($A225="",LEFT($B225,5)="LEAPS"),0,$D225*100*$E225)</f>
      </c>
    </row>
    <row r="226" spans="1:19" x14ac:dyDescent="0.25">
      <c r="A226" s="13"/>
      <c r="B226" s="14"/>
      <c r="C226" s="15"/>
      <c r="D226" s="15"/>
      <c r="E226" s="16"/>
      <c r="F226" s="17"/>
      <c r="G226" s="17"/>
      <c r="H226" s="14"/>
      <c r="I226" s="17"/>
      <c r="J226" s="15"/>
      <c r="K226" s="15"/>
      <c r="L226" s="15"/>
      <c r="M226" s="9">
        <f>IF($A226="","",IF(LEFT($B226,5)="LEAPS",$D226,$C226)*100*$E226)</f>
      </c>
      <c r="N226" s="10">
        <f>IF(OR($A226="",ISNUMBER(MATCH(LOWER($H226),{"open",""},0))),"",IF(LEFT($B226,5)="LEAPS",-1,1)*($D226-IF(ISNUMBER(MATCH(LOWER($H226),{"closed"},0)),$J226,0))*100*$E226-$K226-$L226)</f>
      </c>
      <c r="O226" s="11">
        <f>IF(OR($A226="",$F226=""),"",MAX(1,IF(ISNUMBER(MATCH(LOWER($H226),{"open",""},0)),MIN(TODAY(),$G226),IF($I226="",$G226,$I226))-$F226))</f>
      </c>
      <c r="P226" s="12">
        <f>IF(OR($N226="",$M226="",$M226=0),"",$N226/$M226)</f>
      </c>
      <c r="Q226" s="12">
        <f>IF(OR($P226="",$O226=""),"",$P226*365/$O226)</f>
      </c>
      <c r="R226">
        <f>IF($N226="",0,$M226*$O226)</f>
      </c>
      <c r="S226">
        <f>IF(OR($A226="",LEFT($B226,5)="LEAPS"),0,$D226*100*$E226)</f>
      </c>
    </row>
    <row r="227" spans="1:19" x14ac:dyDescent="0.25">
      <c r="A227" s="13"/>
      <c r="B227" s="14"/>
      <c r="C227" s="15"/>
      <c r="D227" s="15"/>
      <c r="E227" s="16"/>
      <c r="F227" s="17"/>
      <c r="G227" s="17"/>
      <c r="H227" s="14"/>
      <c r="I227" s="17"/>
      <c r="J227" s="15"/>
      <c r="K227" s="15"/>
      <c r="L227" s="15"/>
      <c r="M227" s="9">
        <f>IF($A227="","",IF(LEFT($B227,5)="LEAPS",$D227,$C227)*100*$E227)</f>
      </c>
      <c r="N227" s="10">
        <f>IF(OR($A227="",ISNUMBER(MATCH(LOWER($H227),{"open",""},0))),"",IF(LEFT($B227,5)="LEAPS",-1,1)*($D227-IF(ISNUMBER(MATCH(LOWER($H227),{"closed"},0)),$J227,0))*100*$E227-$K227-$L227)</f>
      </c>
      <c r="O227" s="11">
        <f>IF(OR($A227="",$F227=""),"",MAX(1,IF(ISNUMBER(MATCH(LOWER($H227),{"open",""},0)),MIN(TODAY(),$G227),IF($I227="",$G227,$I227))-$F227))</f>
      </c>
      <c r="P227" s="12">
        <f>IF(OR($N227="",$M227="",$M227=0),"",$N227/$M227)</f>
      </c>
      <c r="Q227" s="12">
        <f>IF(OR($P227="",$O227=""),"",$P227*365/$O227)</f>
      </c>
      <c r="R227">
        <f>IF($N227="",0,$M227*$O227)</f>
      </c>
      <c r="S227">
        <f>IF(OR($A227="",LEFT($B227,5)="LEAPS"),0,$D227*100*$E227)</f>
      </c>
    </row>
    <row r="228" spans="1:19" x14ac:dyDescent="0.25">
      <c r="A228" s="13"/>
      <c r="B228" s="14"/>
      <c r="C228" s="15"/>
      <c r="D228" s="15"/>
      <c r="E228" s="16"/>
      <c r="F228" s="17"/>
      <c r="G228" s="17"/>
      <c r="H228" s="14"/>
      <c r="I228" s="17"/>
      <c r="J228" s="15"/>
      <c r="K228" s="15"/>
      <c r="L228" s="15"/>
      <c r="M228" s="9">
        <f>IF($A228="","",IF(LEFT($B228,5)="LEAPS",$D228,$C228)*100*$E228)</f>
      </c>
      <c r="N228" s="10">
        <f>IF(OR($A228="",ISNUMBER(MATCH(LOWER($H228),{"open",""},0))),"",IF(LEFT($B228,5)="LEAPS",-1,1)*($D228-IF(ISNUMBER(MATCH(LOWER($H228),{"closed"},0)),$J228,0))*100*$E228-$K228-$L228)</f>
      </c>
      <c r="O228" s="11">
        <f>IF(OR($A228="",$F228=""),"",MAX(1,IF(ISNUMBER(MATCH(LOWER($H228),{"open",""},0)),MIN(TODAY(),$G228),IF($I228="",$G228,$I228))-$F228))</f>
      </c>
      <c r="P228" s="12">
        <f>IF(OR($N228="",$M228="",$M228=0),"",$N228/$M228)</f>
      </c>
      <c r="Q228" s="12">
        <f>IF(OR($P228="",$O228=""),"",$P228*365/$O228)</f>
      </c>
      <c r="R228">
        <f>IF($N228="",0,$M228*$O228)</f>
      </c>
      <c r="S228">
        <f>IF(OR($A228="",LEFT($B228,5)="LEAPS"),0,$D228*100*$E228)</f>
      </c>
    </row>
    <row r="229" spans="1:19" x14ac:dyDescent="0.25">
      <c r="A229" s="13"/>
      <c r="B229" s="14"/>
      <c r="C229" s="15"/>
      <c r="D229" s="15"/>
      <c r="E229" s="16"/>
      <c r="F229" s="17"/>
      <c r="G229" s="17"/>
      <c r="H229" s="14"/>
      <c r="I229" s="17"/>
      <c r="J229" s="15"/>
      <c r="K229" s="15"/>
      <c r="L229" s="15"/>
      <c r="M229" s="9">
        <f>IF($A229="","",IF(LEFT($B229,5)="LEAPS",$D229,$C229)*100*$E229)</f>
      </c>
      <c r="N229" s="10">
        <f>IF(OR($A229="",ISNUMBER(MATCH(LOWER($H229),{"open",""},0))),"",IF(LEFT($B229,5)="LEAPS",-1,1)*($D229-IF(ISNUMBER(MATCH(LOWER($H229),{"closed"},0)),$J229,0))*100*$E229-$K229-$L229)</f>
      </c>
      <c r="O229" s="11">
        <f>IF(OR($A229="",$F229=""),"",MAX(1,IF(ISNUMBER(MATCH(LOWER($H229),{"open",""},0)),MIN(TODAY(),$G229),IF($I229="",$G229,$I229))-$F229))</f>
      </c>
      <c r="P229" s="12">
        <f>IF(OR($N229="",$M229="",$M229=0),"",$N229/$M229)</f>
      </c>
      <c r="Q229" s="12">
        <f>IF(OR($P229="",$O229=""),"",$P229*365/$O229)</f>
      </c>
      <c r="R229">
        <f>IF($N229="",0,$M229*$O229)</f>
      </c>
      <c r="S229">
        <f>IF(OR($A229="",LEFT($B229,5)="LEAPS"),0,$D229*100*$E229)</f>
      </c>
    </row>
    <row r="230" spans="1:19" x14ac:dyDescent="0.25">
      <c r="A230" s="13"/>
      <c r="B230" s="14"/>
      <c r="C230" s="15"/>
      <c r="D230" s="15"/>
      <c r="E230" s="16"/>
      <c r="F230" s="17"/>
      <c r="G230" s="17"/>
      <c r="H230" s="14"/>
      <c r="I230" s="17"/>
      <c r="J230" s="15"/>
      <c r="K230" s="15"/>
      <c r="L230" s="15"/>
      <c r="M230" s="9">
        <f>IF($A230="","",IF(LEFT($B230,5)="LEAPS",$D230,$C230)*100*$E230)</f>
      </c>
      <c r="N230" s="10">
        <f>IF(OR($A230="",ISNUMBER(MATCH(LOWER($H230),{"open",""},0))),"",IF(LEFT($B230,5)="LEAPS",-1,1)*($D230-IF(ISNUMBER(MATCH(LOWER($H230),{"closed"},0)),$J230,0))*100*$E230-$K230-$L230)</f>
      </c>
      <c r="O230" s="11">
        <f>IF(OR($A230="",$F230=""),"",MAX(1,IF(ISNUMBER(MATCH(LOWER($H230),{"open",""},0)),MIN(TODAY(),$G230),IF($I230="",$G230,$I230))-$F230))</f>
      </c>
      <c r="P230" s="12">
        <f>IF(OR($N230="",$M230="",$M230=0),"",$N230/$M230)</f>
      </c>
      <c r="Q230" s="12">
        <f>IF(OR($P230="",$O230=""),"",$P230*365/$O230)</f>
      </c>
      <c r="R230">
        <f>IF($N230="",0,$M230*$O230)</f>
      </c>
      <c r="S230">
        <f>IF(OR($A230="",LEFT($B230,5)="LEAPS"),0,$D230*100*$E230)</f>
      </c>
    </row>
    <row r="231" spans="1:19" x14ac:dyDescent="0.25">
      <c r="A231" s="13"/>
      <c r="B231" s="14"/>
      <c r="C231" s="15"/>
      <c r="D231" s="15"/>
      <c r="E231" s="16"/>
      <c r="F231" s="17"/>
      <c r="G231" s="17"/>
      <c r="H231" s="14"/>
      <c r="I231" s="17"/>
      <c r="J231" s="15"/>
      <c r="K231" s="15"/>
      <c r="L231" s="15"/>
      <c r="M231" s="9">
        <f>IF($A231="","",IF(LEFT($B231,5)="LEAPS",$D231,$C231)*100*$E231)</f>
      </c>
      <c r="N231" s="10">
        <f>IF(OR($A231="",ISNUMBER(MATCH(LOWER($H231),{"open",""},0))),"",IF(LEFT($B231,5)="LEAPS",-1,1)*($D231-IF(ISNUMBER(MATCH(LOWER($H231),{"closed"},0)),$J231,0))*100*$E231-$K231-$L231)</f>
      </c>
      <c r="O231" s="11">
        <f>IF(OR($A231="",$F231=""),"",MAX(1,IF(ISNUMBER(MATCH(LOWER($H231),{"open",""},0)),MIN(TODAY(),$G231),IF($I231="",$G231,$I231))-$F231))</f>
      </c>
      <c r="P231" s="12">
        <f>IF(OR($N231="",$M231="",$M231=0),"",$N231/$M231)</f>
      </c>
      <c r="Q231" s="12">
        <f>IF(OR($P231="",$O231=""),"",$P231*365/$O231)</f>
      </c>
      <c r="R231">
        <f>IF($N231="",0,$M231*$O231)</f>
      </c>
      <c r="S231">
        <f>IF(OR($A231="",LEFT($B231,5)="LEAPS"),0,$D231*100*$E231)</f>
      </c>
    </row>
    <row r="232" spans="1:19" x14ac:dyDescent="0.25">
      <c r="A232" s="13"/>
      <c r="B232" s="14"/>
      <c r="C232" s="15"/>
      <c r="D232" s="15"/>
      <c r="E232" s="16"/>
      <c r="F232" s="17"/>
      <c r="G232" s="17"/>
      <c r="H232" s="14"/>
      <c r="I232" s="17"/>
      <c r="J232" s="15"/>
      <c r="K232" s="15"/>
      <c r="L232" s="15"/>
      <c r="M232" s="9">
        <f>IF($A232="","",IF(LEFT($B232,5)="LEAPS",$D232,$C232)*100*$E232)</f>
      </c>
      <c r="N232" s="10">
        <f>IF(OR($A232="",ISNUMBER(MATCH(LOWER($H232),{"open",""},0))),"",IF(LEFT($B232,5)="LEAPS",-1,1)*($D232-IF(ISNUMBER(MATCH(LOWER($H232),{"closed"},0)),$J232,0))*100*$E232-$K232-$L232)</f>
      </c>
      <c r="O232" s="11">
        <f>IF(OR($A232="",$F232=""),"",MAX(1,IF(ISNUMBER(MATCH(LOWER($H232),{"open",""},0)),MIN(TODAY(),$G232),IF($I232="",$G232,$I232))-$F232))</f>
      </c>
      <c r="P232" s="12">
        <f>IF(OR($N232="",$M232="",$M232=0),"",$N232/$M232)</f>
      </c>
      <c r="Q232" s="12">
        <f>IF(OR($P232="",$O232=""),"",$P232*365/$O232)</f>
      </c>
      <c r="R232">
        <f>IF($N232="",0,$M232*$O232)</f>
      </c>
      <c r="S232">
        <f>IF(OR($A232="",LEFT($B232,5)="LEAPS"),0,$D232*100*$E232)</f>
      </c>
    </row>
    <row r="233" spans="1:19" x14ac:dyDescent="0.25">
      <c r="A233" s="13"/>
      <c r="B233" s="14"/>
      <c r="C233" s="15"/>
      <c r="D233" s="15"/>
      <c r="E233" s="16"/>
      <c r="F233" s="17"/>
      <c r="G233" s="17"/>
      <c r="H233" s="14"/>
      <c r="I233" s="17"/>
      <c r="J233" s="15"/>
      <c r="K233" s="15"/>
      <c r="L233" s="15"/>
      <c r="M233" s="9">
        <f>IF($A233="","",IF(LEFT($B233,5)="LEAPS",$D233,$C233)*100*$E233)</f>
      </c>
      <c r="N233" s="10">
        <f>IF(OR($A233="",ISNUMBER(MATCH(LOWER($H233),{"open",""},0))),"",IF(LEFT($B233,5)="LEAPS",-1,1)*($D233-IF(ISNUMBER(MATCH(LOWER($H233),{"closed"},0)),$J233,0))*100*$E233-$K233-$L233)</f>
      </c>
      <c r="O233" s="11">
        <f>IF(OR($A233="",$F233=""),"",MAX(1,IF(ISNUMBER(MATCH(LOWER($H233),{"open",""},0)),MIN(TODAY(),$G233),IF($I233="",$G233,$I233))-$F233))</f>
      </c>
      <c r="P233" s="12">
        <f>IF(OR($N233="",$M233="",$M233=0),"",$N233/$M233)</f>
      </c>
      <c r="Q233" s="12">
        <f>IF(OR($P233="",$O233=""),"",$P233*365/$O233)</f>
      </c>
      <c r="R233">
        <f>IF($N233="",0,$M233*$O233)</f>
      </c>
      <c r="S233">
        <f>IF(OR($A233="",LEFT($B233,5)="LEAPS"),0,$D233*100*$E233)</f>
      </c>
    </row>
    <row r="234" spans="1:19" x14ac:dyDescent="0.25">
      <c r="A234" s="13"/>
      <c r="B234" s="14"/>
      <c r="C234" s="15"/>
      <c r="D234" s="15"/>
      <c r="E234" s="16"/>
      <c r="F234" s="17"/>
      <c r="G234" s="17"/>
      <c r="H234" s="14"/>
      <c r="I234" s="17"/>
      <c r="J234" s="15"/>
      <c r="K234" s="15"/>
      <c r="L234" s="15"/>
      <c r="M234" s="9">
        <f>IF($A234="","",IF(LEFT($B234,5)="LEAPS",$D234,$C234)*100*$E234)</f>
      </c>
      <c r="N234" s="10">
        <f>IF(OR($A234="",ISNUMBER(MATCH(LOWER($H234),{"open",""},0))),"",IF(LEFT($B234,5)="LEAPS",-1,1)*($D234-IF(ISNUMBER(MATCH(LOWER($H234),{"closed"},0)),$J234,0))*100*$E234-$K234-$L234)</f>
      </c>
      <c r="O234" s="11">
        <f>IF(OR($A234="",$F234=""),"",MAX(1,IF(ISNUMBER(MATCH(LOWER($H234),{"open",""},0)),MIN(TODAY(),$G234),IF($I234="",$G234,$I234))-$F234))</f>
      </c>
      <c r="P234" s="12">
        <f>IF(OR($N234="",$M234="",$M234=0),"",$N234/$M234)</f>
      </c>
      <c r="Q234" s="12">
        <f>IF(OR($P234="",$O234=""),"",$P234*365/$O234)</f>
      </c>
      <c r="R234">
        <f>IF($N234="",0,$M234*$O234)</f>
      </c>
      <c r="S234">
        <f>IF(OR($A234="",LEFT($B234,5)="LEAPS"),0,$D234*100*$E234)</f>
      </c>
    </row>
    <row r="235" spans="1:19" x14ac:dyDescent="0.25">
      <c r="A235" s="13"/>
      <c r="B235" s="14"/>
      <c r="C235" s="15"/>
      <c r="D235" s="15"/>
      <c r="E235" s="16"/>
      <c r="F235" s="17"/>
      <c r="G235" s="17"/>
      <c r="H235" s="14"/>
      <c r="I235" s="17"/>
      <c r="J235" s="15"/>
      <c r="K235" s="15"/>
      <c r="L235" s="15"/>
      <c r="M235" s="9">
        <f>IF($A235="","",IF(LEFT($B235,5)="LEAPS",$D235,$C235)*100*$E235)</f>
      </c>
      <c r="N235" s="10">
        <f>IF(OR($A235="",ISNUMBER(MATCH(LOWER($H235),{"open",""},0))),"",IF(LEFT($B235,5)="LEAPS",-1,1)*($D235-IF(ISNUMBER(MATCH(LOWER($H235),{"closed"},0)),$J235,0))*100*$E235-$K235-$L235)</f>
      </c>
      <c r="O235" s="11">
        <f>IF(OR($A235="",$F235=""),"",MAX(1,IF(ISNUMBER(MATCH(LOWER($H235),{"open",""},0)),MIN(TODAY(),$G235),IF($I235="",$G235,$I235))-$F235))</f>
      </c>
      <c r="P235" s="12">
        <f>IF(OR($N235="",$M235="",$M235=0),"",$N235/$M235)</f>
      </c>
      <c r="Q235" s="12">
        <f>IF(OR($P235="",$O235=""),"",$P235*365/$O235)</f>
      </c>
      <c r="R235">
        <f>IF($N235="",0,$M235*$O235)</f>
      </c>
      <c r="S235">
        <f>IF(OR($A235="",LEFT($B235,5)="LEAPS"),0,$D235*100*$E235)</f>
      </c>
    </row>
    <row r="236" spans="1:19" x14ac:dyDescent="0.25">
      <c r="A236" s="13"/>
      <c r="B236" s="14"/>
      <c r="C236" s="15"/>
      <c r="D236" s="15"/>
      <c r="E236" s="16"/>
      <c r="F236" s="17"/>
      <c r="G236" s="17"/>
      <c r="H236" s="14"/>
      <c r="I236" s="17"/>
      <c r="J236" s="15"/>
      <c r="K236" s="15"/>
      <c r="L236" s="15"/>
      <c r="M236" s="9">
        <f>IF($A236="","",IF(LEFT($B236,5)="LEAPS",$D236,$C236)*100*$E236)</f>
      </c>
      <c r="N236" s="10">
        <f>IF(OR($A236="",ISNUMBER(MATCH(LOWER($H236),{"open",""},0))),"",IF(LEFT($B236,5)="LEAPS",-1,1)*($D236-IF(ISNUMBER(MATCH(LOWER($H236),{"closed"},0)),$J236,0))*100*$E236-$K236-$L236)</f>
      </c>
      <c r="O236" s="11">
        <f>IF(OR($A236="",$F236=""),"",MAX(1,IF(ISNUMBER(MATCH(LOWER($H236),{"open",""},0)),MIN(TODAY(),$G236),IF($I236="",$G236,$I236))-$F236))</f>
      </c>
      <c r="P236" s="12">
        <f>IF(OR($N236="",$M236="",$M236=0),"",$N236/$M236)</f>
      </c>
      <c r="Q236" s="12">
        <f>IF(OR($P236="",$O236=""),"",$P236*365/$O236)</f>
      </c>
      <c r="R236">
        <f>IF($N236="",0,$M236*$O236)</f>
      </c>
      <c r="S236">
        <f>IF(OR($A236="",LEFT($B236,5)="LEAPS"),0,$D236*100*$E236)</f>
      </c>
    </row>
    <row r="237" spans="1:19" x14ac:dyDescent="0.25">
      <c r="A237" s="13"/>
      <c r="B237" s="14"/>
      <c r="C237" s="15"/>
      <c r="D237" s="15"/>
      <c r="E237" s="16"/>
      <c r="F237" s="17"/>
      <c r="G237" s="17"/>
      <c r="H237" s="14"/>
      <c r="I237" s="17"/>
      <c r="J237" s="15"/>
      <c r="K237" s="15"/>
      <c r="L237" s="15"/>
      <c r="M237" s="9">
        <f>IF($A237="","",IF(LEFT($B237,5)="LEAPS",$D237,$C237)*100*$E237)</f>
      </c>
      <c r="N237" s="10">
        <f>IF(OR($A237="",ISNUMBER(MATCH(LOWER($H237),{"open",""},0))),"",IF(LEFT($B237,5)="LEAPS",-1,1)*($D237-IF(ISNUMBER(MATCH(LOWER($H237),{"closed"},0)),$J237,0))*100*$E237-$K237-$L237)</f>
      </c>
      <c r="O237" s="11">
        <f>IF(OR($A237="",$F237=""),"",MAX(1,IF(ISNUMBER(MATCH(LOWER($H237),{"open",""},0)),MIN(TODAY(),$G237),IF($I237="",$G237,$I237))-$F237))</f>
      </c>
      <c r="P237" s="12">
        <f>IF(OR($N237="",$M237="",$M237=0),"",$N237/$M237)</f>
      </c>
      <c r="Q237" s="12">
        <f>IF(OR($P237="",$O237=""),"",$P237*365/$O237)</f>
      </c>
      <c r="R237">
        <f>IF($N237="",0,$M237*$O237)</f>
      </c>
      <c r="S237">
        <f>IF(OR($A237="",LEFT($B237,5)="LEAPS"),0,$D237*100*$E237)</f>
      </c>
    </row>
    <row r="238" spans="1:19" x14ac:dyDescent="0.25">
      <c r="A238" s="13"/>
      <c r="B238" s="14"/>
      <c r="C238" s="15"/>
      <c r="D238" s="15"/>
      <c r="E238" s="16"/>
      <c r="F238" s="17"/>
      <c r="G238" s="17"/>
      <c r="H238" s="14"/>
      <c r="I238" s="17"/>
      <c r="J238" s="15"/>
      <c r="K238" s="15"/>
      <c r="L238" s="15"/>
      <c r="M238" s="9">
        <f>IF($A238="","",IF(LEFT($B238,5)="LEAPS",$D238,$C238)*100*$E238)</f>
      </c>
      <c r="N238" s="10">
        <f>IF(OR($A238="",ISNUMBER(MATCH(LOWER($H238),{"open",""},0))),"",IF(LEFT($B238,5)="LEAPS",-1,1)*($D238-IF(ISNUMBER(MATCH(LOWER($H238),{"closed"},0)),$J238,0))*100*$E238-$K238-$L238)</f>
      </c>
      <c r="O238" s="11">
        <f>IF(OR($A238="",$F238=""),"",MAX(1,IF(ISNUMBER(MATCH(LOWER($H238),{"open",""},0)),MIN(TODAY(),$G238),IF($I238="",$G238,$I238))-$F238))</f>
      </c>
      <c r="P238" s="12">
        <f>IF(OR($N238="",$M238="",$M238=0),"",$N238/$M238)</f>
      </c>
      <c r="Q238" s="12">
        <f>IF(OR($P238="",$O238=""),"",$P238*365/$O238)</f>
      </c>
      <c r="R238">
        <f>IF($N238="",0,$M238*$O238)</f>
      </c>
      <c r="S238">
        <f>IF(OR($A238="",LEFT($B238,5)="LEAPS"),0,$D238*100*$E238)</f>
      </c>
    </row>
    <row r="239" spans="1:19" x14ac:dyDescent="0.25">
      <c r="A239" s="13"/>
      <c r="B239" s="14"/>
      <c r="C239" s="15"/>
      <c r="D239" s="15"/>
      <c r="E239" s="16"/>
      <c r="F239" s="17"/>
      <c r="G239" s="17"/>
      <c r="H239" s="14"/>
      <c r="I239" s="17"/>
      <c r="J239" s="15"/>
      <c r="K239" s="15"/>
      <c r="L239" s="15"/>
      <c r="M239" s="9">
        <f>IF($A239="","",IF(LEFT($B239,5)="LEAPS",$D239,$C239)*100*$E239)</f>
      </c>
      <c r="N239" s="10">
        <f>IF(OR($A239="",ISNUMBER(MATCH(LOWER($H239),{"open",""},0))),"",IF(LEFT($B239,5)="LEAPS",-1,1)*($D239-IF(ISNUMBER(MATCH(LOWER($H239),{"closed"},0)),$J239,0))*100*$E239-$K239-$L239)</f>
      </c>
      <c r="O239" s="11">
        <f>IF(OR($A239="",$F239=""),"",MAX(1,IF(ISNUMBER(MATCH(LOWER($H239),{"open",""},0)),MIN(TODAY(),$G239),IF($I239="",$G239,$I239))-$F239))</f>
      </c>
      <c r="P239" s="12">
        <f>IF(OR($N239="",$M239="",$M239=0),"",$N239/$M239)</f>
      </c>
      <c r="Q239" s="12">
        <f>IF(OR($P239="",$O239=""),"",$P239*365/$O239)</f>
      </c>
      <c r="R239">
        <f>IF($N239="",0,$M239*$O239)</f>
      </c>
      <c r="S239">
        <f>IF(OR($A239="",LEFT($B239,5)="LEAPS"),0,$D239*100*$E239)</f>
      </c>
    </row>
    <row r="240" spans="1:19" x14ac:dyDescent="0.25">
      <c r="A240" s="13"/>
      <c r="B240" s="14"/>
      <c r="C240" s="15"/>
      <c r="D240" s="15"/>
      <c r="E240" s="16"/>
      <c r="F240" s="17"/>
      <c r="G240" s="17"/>
      <c r="H240" s="14"/>
      <c r="I240" s="17"/>
      <c r="J240" s="15"/>
      <c r="K240" s="15"/>
      <c r="L240" s="15"/>
      <c r="M240" s="9">
        <f>IF($A240="","",IF(LEFT($B240,5)="LEAPS",$D240,$C240)*100*$E240)</f>
      </c>
      <c r="N240" s="10">
        <f>IF(OR($A240="",ISNUMBER(MATCH(LOWER($H240),{"open",""},0))),"",IF(LEFT($B240,5)="LEAPS",-1,1)*($D240-IF(ISNUMBER(MATCH(LOWER($H240),{"closed"},0)),$J240,0))*100*$E240-$K240-$L240)</f>
      </c>
      <c r="O240" s="11">
        <f>IF(OR($A240="",$F240=""),"",MAX(1,IF(ISNUMBER(MATCH(LOWER($H240),{"open",""},0)),MIN(TODAY(),$G240),IF($I240="",$G240,$I240))-$F240))</f>
      </c>
      <c r="P240" s="12">
        <f>IF(OR($N240="",$M240="",$M240=0),"",$N240/$M240)</f>
      </c>
      <c r="Q240" s="12">
        <f>IF(OR($P240="",$O240=""),"",$P240*365/$O240)</f>
      </c>
      <c r="R240">
        <f>IF($N240="",0,$M240*$O240)</f>
      </c>
      <c r="S240">
        <f>IF(OR($A240="",LEFT($B240,5)="LEAPS"),0,$D240*100*$E240)</f>
      </c>
    </row>
    <row r="241" spans="1:19" x14ac:dyDescent="0.25">
      <c r="A241" s="13"/>
      <c r="B241" s="14"/>
      <c r="C241" s="15"/>
      <c r="D241" s="15"/>
      <c r="E241" s="16"/>
      <c r="F241" s="17"/>
      <c r="G241" s="17"/>
      <c r="H241" s="14"/>
      <c r="I241" s="17"/>
      <c r="J241" s="15"/>
      <c r="K241" s="15"/>
      <c r="L241" s="15"/>
      <c r="M241" s="9">
        <f>IF($A241="","",IF(LEFT($B241,5)="LEAPS",$D241,$C241)*100*$E241)</f>
      </c>
      <c r="N241" s="10">
        <f>IF(OR($A241="",ISNUMBER(MATCH(LOWER($H241),{"open",""},0))),"",IF(LEFT($B241,5)="LEAPS",-1,1)*($D241-IF(ISNUMBER(MATCH(LOWER($H241),{"closed"},0)),$J241,0))*100*$E241-$K241-$L241)</f>
      </c>
      <c r="O241" s="11">
        <f>IF(OR($A241="",$F241=""),"",MAX(1,IF(ISNUMBER(MATCH(LOWER($H241),{"open",""},0)),MIN(TODAY(),$G241),IF($I241="",$G241,$I241))-$F241))</f>
      </c>
      <c r="P241" s="12">
        <f>IF(OR($N241="",$M241="",$M241=0),"",$N241/$M241)</f>
      </c>
      <c r="Q241" s="12">
        <f>IF(OR($P241="",$O241=""),"",$P241*365/$O241)</f>
      </c>
      <c r="R241">
        <f>IF($N241="",0,$M241*$O241)</f>
      </c>
      <c r="S241">
        <f>IF(OR($A241="",LEFT($B241,5)="LEAPS"),0,$D241*100*$E241)</f>
      </c>
    </row>
    <row r="242" spans="1:19" x14ac:dyDescent="0.25">
      <c r="A242" s="13"/>
      <c r="B242" s="14"/>
      <c r="C242" s="15"/>
      <c r="D242" s="15"/>
      <c r="E242" s="16"/>
      <c r="F242" s="17"/>
      <c r="G242" s="17"/>
      <c r="H242" s="14"/>
      <c r="I242" s="17"/>
      <c r="J242" s="15"/>
      <c r="K242" s="15"/>
      <c r="L242" s="15"/>
      <c r="M242" s="9">
        <f>IF($A242="","",IF(LEFT($B242,5)="LEAPS",$D242,$C242)*100*$E242)</f>
      </c>
      <c r="N242" s="10">
        <f>IF(OR($A242="",ISNUMBER(MATCH(LOWER($H242),{"open",""},0))),"",IF(LEFT($B242,5)="LEAPS",-1,1)*($D242-IF(ISNUMBER(MATCH(LOWER($H242),{"closed"},0)),$J242,0))*100*$E242-$K242-$L242)</f>
      </c>
      <c r="O242" s="11">
        <f>IF(OR($A242="",$F242=""),"",MAX(1,IF(ISNUMBER(MATCH(LOWER($H242),{"open",""},0)),MIN(TODAY(),$G242),IF($I242="",$G242,$I242))-$F242))</f>
      </c>
      <c r="P242" s="12">
        <f>IF(OR($N242="",$M242="",$M242=0),"",$N242/$M242)</f>
      </c>
      <c r="Q242" s="12">
        <f>IF(OR($P242="",$O242=""),"",$P242*365/$O242)</f>
      </c>
      <c r="R242">
        <f>IF($N242="",0,$M242*$O242)</f>
      </c>
      <c r="S242">
        <f>IF(OR($A242="",LEFT($B242,5)="LEAPS"),0,$D242*100*$E242)</f>
      </c>
    </row>
    <row r="243" spans="1:19" x14ac:dyDescent="0.25">
      <c r="A243" s="13"/>
      <c r="B243" s="14"/>
      <c r="C243" s="15"/>
      <c r="D243" s="15"/>
      <c r="E243" s="16"/>
      <c r="F243" s="17"/>
      <c r="G243" s="17"/>
      <c r="H243" s="14"/>
      <c r="I243" s="17"/>
      <c r="J243" s="15"/>
      <c r="K243" s="15"/>
      <c r="L243" s="15"/>
      <c r="M243" s="9">
        <f>IF($A243="","",IF(LEFT($B243,5)="LEAPS",$D243,$C243)*100*$E243)</f>
      </c>
      <c r="N243" s="10">
        <f>IF(OR($A243="",ISNUMBER(MATCH(LOWER($H243),{"open",""},0))),"",IF(LEFT($B243,5)="LEAPS",-1,1)*($D243-IF(ISNUMBER(MATCH(LOWER($H243),{"closed"},0)),$J243,0))*100*$E243-$K243-$L243)</f>
      </c>
      <c r="O243" s="11">
        <f>IF(OR($A243="",$F243=""),"",MAX(1,IF(ISNUMBER(MATCH(LOWER($H243),{"open",""},0)),MIN(TODAY(),$G243),IF($I243="",$G243,$I243))-$F243))</f>
      </c>
      <c r="P243" s="12">
        <f>IF(OR($N243="",$M243="",$M243=0),"",$N243/$M243)</f>
      </c>
      <c r="Q243" s="12">
        <f>IF(OR($P243="",$O243=""),"",$P243*365/$O243)</f>
      </c>
      <c r="R243">
        <f>IF($N243="",0,$M243*$O243)</f>
      </c>
      <c r="S243">
        <f>IF(OR($A243="",LEFT($B243,5)="LEAPS"),0,$D243*100*$E243)</f>
      </c>
    </row>
    <row r="244" spans="1:19" x14ac:dyDescent="0.25">
      <c r="A244" s="13"/>
      <c r="B244" s="14"/>
      <c r="C244" s="15"/>
      <c r="D244" s="15"/>
      <c r="E244" s="16"/>
      <c r="F244" s="17"/>
      <c r="G244" s="17"/>
      <c r="H244" s="14"/>
      <c r="I244" s="17"/>
      <c r="J244" s="15"/>
      <c r="K244" s="15"/>
      <c r="L244" s="15"/>
      <c r="M244" s="9">
        <f>IF($A244="","",IF(LEFT($B244,5)="LEAPS",$D244,$C244)*100*$E244)</f>
      </c>
      <c r="N244" s="10">
        <f>IF(OR($A244="",ISNUMBER(MATCH(LOWER($H244),{"open",""},0))),"",IF(LEFT($B244,5)="LEAPS",-1,1)*($D244-IF(ISNUMBER(MATCH(LOWER($H244),{"closed"},0)),$J244,0))*100*$E244-$K244-$L244)</f>
      </c>
      <c r="O244" s="11">
        <f>IF(OR($A244="",$F244=""),"",MAX(1,IF(ISNUMBER(MATCH(LOWER($H244),{"open",""},0)),MIN(TODAY(),$G244),IF($I244="",$G244,$I244))-$F244))</f>
      </c>
      <c r="P244" s="12">
        <f>IF(OR($N244="",$M244="",$M244=0),"",$N244/$M244)</f>
      </c>
      <c r="Q244" s="12">
        <f>IF(OR($P244="",$O244=""),"",$P244*365/$O244)</f>
      </c>
      <c r="R244">
        <f>IF($N244="",0,$M244*$O244)</f>
      </c>
      <c r="S244">
        <f>IF(OR($A244="",LEFT($B244,5)="LEAPS"),0,$D244*100*$E244)</f>
      </c>
    </row>
    <row r="245" spans="1:19" x14ac:dyDescent="0.25">
      <c r="A245" s="13"/>
      <c r="B245" s="14"/>
      <c r="C245" s="15"/>
      <c r="D245" s="15"/>
      <c r="E245" s="16"/>
      <c r="F245" s="17"/>
      <c r="G245" s="17"/>
      <c r="H245" s="14"/>
      <c r="I245" s="17"/>
      <c r="J245" s="15"/>
      <c r="K245" s="15"/>
      <c r="L245" s="15"/>
      <c r="M245" s="9">
        <f>IF($A245="","",IF(LEFT($B245,5)="LEAPS",$D245,$C245)*100*$E245)</f>
      </c>
      <c r="N245" s="10">
        <f>IF(OR($A245="",ISNUMBER(MATCH(LOWER($H245),{"open",""},0))),"",IF(LEFT($B245,5)="LEAPS",-1,1)*($D245-IF(ISNUMBER(MATCH(LOWER($H245),{"closed"},0)),$J245,0))*100*$E245-$K245-$L245)</f>
      </c>
      <c r="O245" s="11">
        <f>IF(OR($A245="",$F245=""),"",MAX(1,IF(ISNUMBER(MATCH(LOWER($H245),{"open",""},0)),MIN(TODAY(),$G245),IF($I245="",$G245,$I245))-$F245))</f>
      </c>
      <c r="P245" s="12">
        <f>IF(OR($N245="",$M245="",$M245=0),"",$N245/$M245)</f>
      </c>
      <c r="Q245" s="12">
        <f>IF(OR($P245="",$O245=""),"",$P245*365/$O245)</f>
      </c>
      <c r="R245">
        <f>IF($N245="",0,$M245*$O245)</f>
      </c>
      <c r="S245">
        <f>IF(OR($A245="",LEFT($B245,5)="LEAPS"),0,$D245*100*$E245)</f>
      </c>
    </row>
    <row r="246" spans="1:19" x14ac:dyDescent="0.25">
      <c r="A246" s="13"/>
      <c r="B246" s="14"/>
      <c r="C246" s="15"/>
      <c r="D246" s="15"/>
      <c r="E246" s="16"/>
      <c r="F246" s="17"/>
      <c r="G246" s="17"/>
      <c r="H246" s="14"/>
      <c r="I246" s="17"/>
      <c r="J246" s="15"/>
      <c r="K246" s="15"/>
      <c r="L246" s="15"/>
      <c r="M246" s="9">
        <f>IF($A246="","",IF(LEFT($B246,5)="LEAPS",$D246,$C246)*100*$E246)</f>
      </c>
      <c r="N246" s="10">
        <f>IF(OR($A246="",ISNUMBER(MATCH(LOWER($H246),{"open",""},0))),"",IF(LEFT($B246,5)="LEAPS",-1,1)*($D246-IF(ISNUMBER(MATCH(LOWER($H246),{"closed"},0)),$J246,0))*100*$E246-$K246-$L246)</f>
      </c>
      <c r="O246" s="11">
        <f>IF(OR($A246="",$F246=""),"",MAX(1,IF(ISNUMBER(MATCH(LOWER($H246),{"open",""},0)),MIN(TODAY(),$G246),IF($I246="",$G246,$I246))-$F246))</f>
      </c>
      <c r="P246" s="12">
        <f>IF(OR($N246="",$M246="",$M246=0),"",$N246/$M246)</f>
      </c>
      <c r="Q246" s="12">
        <f>IF(OR($P246="",$O246=""),"",$P246*365/$O246)</f>
      </c>
      <c r="R246">
        <f>IF($N246="",0,$M246*$O246)</f>
      </c>
      <c r="S246">
        <f>IF(OR($A246="",LEFT($B246,5)="LEAPS"),0,$D246*100*$E246)</f>
      </c>
    </row>
    <row r="247" spans="1:19" x14ac:dyDescent="0.25">
      <c r="A247" s="13"/>
      <c r="B247" s="14"/>
      <c r="C247" s="15"/>
      <c r="D247" s="15"/>
      <c r="E247" s="16"/>
      <c r="F247" s="17"/>
      <c r="G247" s="17"/>
      <c r="H247" s="14"/>
      <c r="I247" s="17"/>
      <c r="J247" s="15"/>
      <c r="K247" s="15"/>
      <c r="L247" s="15"/>
      <c r="M247" s="9">
        <f>IF($A247="","",IF(LEFT($B247,5)="LEAPS",$D247,$C247)*100*$E247)</f>
      </c>
      <c r="N247" s="10">
        <f>IF(OR($A247="",ISNUMBER(MATCH(LOWER($H247),{"open",""},0))),"",IF(LEFT($B247,5)="LEAPS",-1,1)*($D247-IF(ISNUMBER(MATCH(LOWER($H247),{"closed"},0)),$J247,0))*100*$E247-$K247-$L247)</f>
      </c>
      <c r="O247" s="11">
        <f>IF(OR($A247="",$F247=""),"",MAX(1,IF(ISNUMBER(MATCH(LOWER($H247),{"open",""},0)),MIN(TODAY(),$G247),IF($I247="",$G247,$I247))-$F247))</f>
      </c>
      <c r="P247" s="12">
        <f>IF(OR($N247="",$M247="",$M247=0),"",$N247/$M247)</f>
      </c>
      <c r="Q247" s="12">
        <f>IF(OR($P247="",$O247=""),"",$P247*365/$O247)</f>
      </c>
      <c r="R247">
        <f>IF($N247="",0,$M247*$O247)</f>
      </c>
      <c r="S247">
        <f>IF(OR($A247="",LEFT($B247,5)="LEAPS"),0,$D247*100*$E247)</f>
      </c>
    </row>
    <row r="248" spans="1:19" x14ac:dyDescent="0.25">
      <c r="A248" s="13"/>
      <c r="B248" s="14"/>
      <c r="C248" s="15"/>
      <c r="D248" s="15"/>
      <c r="E248" s="16"/>
      <c r="F248" s="17"/>
      <c r="G248" s="17"/>
      <c r="H248" s="14"/>
      <c r="I248" s="17"/>
      <c r="J248" s="15"/>
      <c r="K248" s="15"/>
      <c r="L248" s="15"/>
      <c r="M248" s="9">
        <f>IF($A248="","",IF(LEFT($B248,5)="LEAPS",$D248,$C248)*100*$E248)</f>
      </c>
      <c r="N248" s="10">
        <f>IF(OR($A248="",ISNUMBER(MATCH(LOWER($H248),{"open",""},0))),"",IF(LEFT($B248,5)="LEAPS",-1,1)*($D248-IF(ISNUMBER(MATCH(LOWER($H248),{"closed"},0)),$J248,0))*100*$E248-$K248-$L248)</f>
      </c>
      <c r="O248" s="11">
        <f>IF(OR($A248="",$F248=""),"",MAX(1,IF(ISNUMBER(MATCH(LOWER($H248),{"open",""},0)),MIN(TODAY(),$G248),IF($I248="",$G248,$I248))-$F248))</f>
      </c>
      <c r="P248" s="12">
        <f>IF(OR($N248="",$M248="",$M248=0),"",$N248/$M248)</f>
      </c>
      <c r="Q248" s="12">
        <f>IF(OR($P248="",$O248=""),"",$P248*365/$O248)</f>
      </c>
      <c r="R248">
        <f>IF($N248="",0,$M248*$O248)</f>
      </c>
      <c r="S248">
        <f>IF(OR($A248="",LEFT($B248,5)="LEAPS"),0,$D248*100*$E248)</f>
      </c>
    </row>
    <row r="249" spans="1:19" x14ac:dyDescent="0.25">
      <c r="A249" s="13"/>
      <c r="B249" s="14"/>
      <c r="C249" s="15"/>
      <c r="D249" s="15"/>
      <c r="E249" s="16"/>
      <c r="F249" s="17"/>
      <c r="G249" s="17"/>
      <c r="H249" s="14"/>
      <c r="I249" s="17"/>
      <c r="J249" s="15"/>
      <c r="K249" s="15"/>
      <c r="L249" s="15"/>
      <c r="M249" s="9">
        <f>IF($A249="","",IF(LEFT($B249,5)="LEAPS",$D249,$C249)*100*$E249)</f>
      </c>
      <c r="N249" s="10">
        <f>IF(OR($A249="",ISNUMBER(MATCH(LOWER($H249),{"open",""},0))),"",IF(LEFT($B249,5)="LEAPS",-1,1)*($D249-IF(ISNUMBER(MATCH(LOWER($H249),{"closed"},0)),$J249,0))*100*$E249-$K249-$L249)</f>
      </c>
      <c r="O249" s="11">
        <f>IF(OR($A249="",$F249=""),"",MAX(1,IF(ISNUMBER(MATCH(LOWER($H249),{"open",""},0)),MIN(TODAY(),$G249),IF($I249="",$G249,$I249))-$F249))</f>
      </c>
      <c r="P249" s="12">
        <f>IF(OR($N249="",$M249="",$M249=0),"",$N249/$M249)</f>
      </c>
      <c r="Q249" s="12">
        <f>IF(OR($P249="",$O249=""),"",$P249*365/$O249)</f>
      </c>
      <c r="R249">
        <f>IF($N249="",0,$M249*$O249)</f>
      </c>
      <c r="S249">
        <f>IF(OR($A249="",LEFT($B249,5)="LEAPS"),0,$D249*100*$E249)</f>
      </c>
    </row>
    <row r="250" spans="1:19" x14ac:dyDescent="0.25">
      <c r="A250" s="13"/>
      <c r="B250" s="14"/>
      <c r="C250" s="15"/>
      <c r="D250" s="15"/>
      <c r="E250" s="16"/>
      <c r="F250" s="17"/>
      <c r="G250" s="17"/>
      <c r="H250" s="14"/>
      <c r="I250" s="17"/>
      <c r="J250" s="15"/>
      <c r="K250" s="15"/>
      <c r="L250" s="15"/>
      <c r="M250" s="9">
        <f>IF($A250="","",IF(LEFT($B250,5)="LEAPS",$D250,$C250)*100*$E250)</f>
      </c>
      <c r="N250" s="10">
        <f>IF(OR($A250="",ISNUMBER(MATCH(LOWER($H250),{"open",""},0))),"",IF(LEFT($B250,5)="LEAPS",-1,1)*($D250-IF(ISNUMBER(MATCH(LOWER($H250),{"closed"},0)),$J250,0))*100*$E250-$K250-$L250)</f>
      </c>
      <c r="O250" s="11">
        <f>IF(OR($A250="",$F250=""),"",MAX(1,IF(ISNUMBER(MATCH(LOWER($H250),{"open",""},0)),MIN(TODAY(),$G250),IF($I250="",$G250,$I250))-$F250))</f>
      </c>
      <c r="P250" s="12">
        <f>IF(OR($N250="",$M250="",$M250=0),"",$N250/$M250)</f>
      </c>
      <c r="Q250" s="12">
        <f>IF(OR($P250="",$O250=""),"",$P250*365/$O250)</f>
      </c>
      <c r="R250">
        <f>IF($N250="",0,$M250*$O250)</f>
      </c>
      <c r="S250">
        <f>IF(OR($A250="",LEFT($B250,5)="LEAPS"),0,$D250*100*$E250)</f>
      </c>
    </row>
    <row r="251" spans="1:19" x14ac:dyDescent="0.25">
      <c r="A251" s="13"/>
      <c r="B251" s="14"/>
      <c r="C251" s="15"/>
      <c r="D251" s="15"/>
      <c r="E251" s="16"/>
      <c r="F251" s="17"/>
      <c r="G251" s="17"/>
      <c r="H251" s="14"/>
      <c r="I251" s="17"/>
      <c r="J251" s="15"/>
      <c r="K251" s="15"/>
      <c r="L251" s="15"/>
      <c r="M251" s="9">
        <f>IF($A251="","",IF(LEFT($B251,5)="LEAPS",$D251,$C251)*100*$E251)</f>
      </c>
      <c r="N251" s="10">
        <f>IF(OR($A251="",ISNUMBER(MATCH(LOWER($H251),{"open",""},0))),"",IF(LEFT($B251,5)="LEAPS",-1,1)*($D251-IF(ISNUMBER(MATCH(LOWER($H251),{"closed"},0)),$J251,0))*100*$E251-$K251-$L251)</f>
      </c>
      <c r="O251" s="11">
        <f>IF(OR($A251="",$F251=""),"",MAX(1,IF(ISNUMBER(MATCH(LOWER($H251),{"open",""},0)),MIN(TODAY(),$G251),IF($I251="",$G251,$I251))-$F251))</f>
      </c>
      <c r="P251" s="12">
        <f>IF(OR($N251="",$M251="",$M251=0),"",$N251/$M251)</f>
      </c>
      <c r="Q251" s="12">
        <f>IF(OR($P251="",$O251=""),"",$P251*365/$O251)</f>
      </c>
      <c r="R251">
        <f>IF($N251="",0,$M251*$O251)</f>
      </c>
      <c r="S251">
        <f>IF(OR($A251="",LEFT($B251,5)="LEAPS"),0,$D251*100*$E251)</f>
      </c>
    </row>
    <row r="252" spans="1:19" x14ac:dyDescent="0.25">
      <c r="A252" s="13"/>
      <c r="B252" s="14"/>
      <c r="C252" s="15"/>
      <c r="D252" s="15"/>
      <c r="E252" s="16"/>
      <c r="F252" s="17"/>
      <c r="G252" s="17"/>
      <c r="H252" s="14"/>
      <c r="I252" s="17"/>
      <c r="J252" s="15"/>
      <c r="K252" s="15"/>
      <c r="L252" s="15"/>
      <c r="M252" s="9">
        <f>IF($A252="","",IF(LEFT($B252,5)="LEAPS",$D252,$C252)*100*$E252)</f>
      </c>
      <c r="N252" s="10">
        <f>IF(OR($A252="",ISNUMBER(MATCH(LOWER($H252),{"open",""},0))),"",IF(LEFT($B252,5)="LEAPS",-1,1)*($D252-IF(ISNUMBER(MATCH(LOWER($H252),{"closed"},0)),$J252,0))*100*$E252-$K252-$L252)</f>
      </c>
      <c r="O252" s="11">
        <f>IF(OR($A252="",$F252=""),"",MAX(1,IF(ISNUMBER(MATCH(LOWER($H252),{"open",""},0)),MIN(TODAY(),$G252),IF($I252="",$G252,$I252))-$F252))</f>
      </c>
      <c r="P252" s="12">
        <f>IF(OR($N252="",$M252="",$M252=0),"",$N252/$M252)</f>
      </c>
      <c r="Q252" s="12">
        <f>IF(OR($P252="",$O252=""),"",$P252*365/$O252)</f>
      </c>
      <c r="R252">
        <f>IF($N252="",0,$M252*$O252)</f>
      </c>
      <c r="S252">
        <f>IF(OR($A252="",LEFT($B252,5)="LEAPS"),0,$D252*100*$E252)</f>
      </c>
    </row>
    <row r="253" spans="1:19" x14ac:dyDescent="0.25">
      <c r="A253" s="13"/>
      <c r="B253" s="14"/>
      <c r="C253" s="15"/>
      <c r="D253" s="15"/>
      <c r="E253" s="16"/>
      <c r="F253" s="17"/>
      <c r="G253" s="17"/>
      <c r="H253" s="14"/>
      <c r="I253" s="17"/>
      <c r="J253" s="15"/>
      <c r="K253" s="15"/>
      <c r="L253" s="15"/>
      <c r="M253" s="9">
        <f>IF($A253="","",IF(LEFT($B253,5)="LEAPS",$D253,$C253)*100*$E253)</f>
      </c>
      <c r="N253" s="10">
        <f>IF(OR($A253="",ISNUMBER(MATCH(LOWER($H253),{"open",""},0))),"",IF(LEFT($B253,5)="LEAPS",-1,1)*($D253-IF(ISNUMBER(MATCH(LOWER($H253),{"closed"},0)),$J253,0))*100*$E253-$K253-$L253)</f>
      </c>
      <c r="O253" s="11">
        <f>IF(OR($A253="",$F253=""),"",MAX(1,IF(ISNUMBER(MATCH(LOWER($H253),{"open",""},0)),MIN(TODAY(),$G253),IF($I253="",$G253,$I253))-$F253))</f>
      </c>
      <c r="P253" s="12">
        <f>IF(OR($N253="",$M253="",$M253=0),"",$N253/$M253)</f>
      </c>
      <c r="Q253" s="12">
        <f>IF(OR($P253="",$O253=""),"",$P253*365/$O253)</f>
      </c>
      <c r="R253">
        <f>IF($N253="",0,$M253*$O253)</f>
      </c>
      <c r="S253">
        <f>IF(OR($A253="",LEFT($B253,5)="LEAPS"),0,$D253*100*$E253)</f>
      </c>
    </row>
    <row r="254" spans="1:19" x14ac:dyDescent="0.25">
      <c r="A254" s="13"/>
      <c r="B254" s="14"/>
      <c r="C254" s="15"/>
      <c r="D254" s="15"/>
      <c r="E254" s="16"/>
      <c r="F254" s="17"/>
      <c r="G254" s="17"/>
      <c r="H254" s="14"/>
      <c r="I254" s="17"/>
      <c r="J254" s="15"/>
      <c r="K254" s="15"/>
      <c r="L254" s="15"/>
      <c r="M254" s="9">
        <f>IF($A254="","",IF(LEFT($B254,5)="LEAPS",$D254,$C254)*100*$E254)</f>
      </c>
      <c r="N254" s="10">
        <f>IF(OR($A254="",ISNUMBER(MATCH(LOWER($H254),{"open",""},0))),"",IF(LEFT($B254,5)="LEAPS",-1,1)*($D254-IF(ISNUMBER(MATCH(LOWER($H254),{"closed"},0)),$J254,0))*100*$E254-$K254-$L254)</f>
      </c>
      <c r="O254" s="11">
        <f>IF(OR($A254="",$F254=""),"",MAX(1,IF(ISNUMBER(MATCH(LOWER($H254),{"open",""},0)),MIN(TODAY(),$G254),IF($I254="",$G254,$I254))-$F254))</f>
      </c>
      <c r="P254" s="12">
        <f>IF(OR($N254="",$M254="",$M254=0),"",$N254/$M254)</f>
      </c>
      <c r="Q254" s="12">
        <f>IF(OR($P254="",$O254=""),"",$P254*365/$O254)</f>
      </c>
      <c r="R254">
        <f>IF($N254="",0,$M254*$O254)</f>
      </c>
      <c r="S254">
        <f>IF(OR($A254="",LEFT($B254,5)="LEAPS"),0,$D254*100*$E254)</f>
      </c>
    </row>
    <row r="255" spans="1:19" x14ac:dyDescent="0.25">
      <c r="A255" s="13"/>
      <c r="B255" s="14"/>
      <c r="C255" s="15"/>
      <c r="D255" s="15"/>
      <c r="E255" s="16"/>
      <c r="F255" s="17"/>
      <c r="G255" s="17"/>
      <c r="H255" s="14"/>
      <c r="I255" s="17"/>
      <c r="J255" s="15"/>
      <c r="K255" s="15"/>
      <c r="L255" s="15"/>
      <c r="M255" s="9">
        <f>IF($A255="","",IF(LEFT($B255,5)="LEAPS",$D255,$C255)*100*$E255)</f>
      </c>
      <c r="N255" s="10">
        <f>IF(OR($A255="",ISNUMBER(MATCH(LOWER($H255),{"open",""},0))),"",IF(LEFT($B255,5)="LEAPS",-1,1)*($D255-IF(ISNUMBER(MATCH(LOWER($H255),{"closed"},0)),$J255,0))*100*$E255-$K255-$L255)</f>
      </c>
      <c r="O255" s="11">
        <f>IF(OR($A255="",$F255=""),"",MAX(1,IF(ISNUMBER(MATCH(LOWER($H255),{"open",""},0)),MIN(TODAY(),$G255),IF($I255="",$G255,$I255))-$F255))</f>
      </c>
      <c r="P255" s="12">
        <f>IF(OR($N255="",$M255="",$M255=0),"",$N255/$M255)</f>
      </c>
      <c r="Q255" s="12">
        <f>IF(OR($P255="",$O255=""),"",$P255*365/$O255)</f>
      </c>
      <c r="R255">
        <f>IF($N255="",0,$M255*$O255)</f>
      </c>
      <c r="S255">
        <f>IF(OR($A255="",LEFT($B255,5)="LEAPS"),0,$D255*100*$E255)</f>
      </c>
    </row>
    <row r="256" spans="1:19" x14ac:dyDescent="0.25">
      <c r="A256" s="13"/>
      <c r="B256" s="14"/>
      <c r="C256" s="15"/>
      <c r="D256" s="15"/>
      <c r="E256" s="16"/>
      <c r="F256" s="17"/>
      <c r="G256" s="17"/>
      <c r="H256" s="14"/>
      <c r="I256" s="17"/>
      <c r="J256" s="15"/>
      <c r="K256" s="15"/>
      <c r="L256" s="15"/>
      <c r="M256" s="9">
        <f>IF($A256="","",IF(LEFT($B256,5)="LEAPS",$D256,$C256)*100*$E256)</f>
      </c>
      <c r="N256" s="10">
        <f>IF(OR($A256="",ISNUMBER(MATCH(LOWER($H256),{"open",""},0))),"",IF(LEFT($B256,5)="LEAPS",-1,1)*($D256-IF(ISNUMBER(MATCH(LOWER($H256),{"closed"},0)),$J256,0))*100*$E256-$K256-$L256)</f>
      </c>
      <c r="O256" s="11">
        <f>IF(OR($A256="",$F256=""),"",MAX(1,IF(ISNUMBER(MATCH(LOWER($H256),{"open",""},0)),MIN(TODAY(),$G256),IF($I256="",$G256,$I256))-$F256))</f>
      </c>
      <c r="P256" s="12">
        <f>IF(OR($N256="",$M256="",$M256=0),"",$N256/$M256)</f>
      </c>
      <c r="Q256" s="12">
        <f>IF(OR($P256="",$O256=""),"",$P256*365/$O256)</f>
      </c>
      <c r="R256">
        <f>IF($N256="",0,$M256*$O256)</f>
      </c>
      <c r="S256">
        <f>IF(OR($A256="",LEFT($B256,5)="LEAPS"),0,$D256*100*$E256)</f>
      </c>
    </row>
    <row r="257" spans="1:19" x14ac:dyDescent="0.25">
      <c r="A257" s="13"/>
      <c r="B257" s="14"/>
      <c r="C257" s="15"/>
      <c r="D257" s="15"/>
      <c r="E257" s="16"/>
      <c r="F257" s="17"/>
      <c r="G257" s="17"/>
      <c r="H257" s="14"/>
      <c r="I257" s="17"/>
      <c r="J257" s="15"/>
      <c r="K257" s="15"/>
      <c r="L257" s="15"/>
      <c r="M257" s="9">
        <f>IF($A257="","",IF(LEFT($B257,5)="LEAPS",$D257,$C257)*100*$E257)</f>
      </c>
      <c r="N257" s="10">
        <f>IF(OR($A257="",ISNUMBER(MATCH(LOWER($H257),{"open",""},0))),"",IF(LEFT($B257,5)="LEAPS",-1,1)*($D257-IF(ISNUMBER(MATCH(LOWER($H257),{"closed"},0)),$J257,0))*100*$E257-$K257-$L257)</f>
      </c>
      <c r="O257" s="11">
        <f>IF(OR($A257="",$F257=""),"",MAX(1,IF(ISNUMBER(MATCH(LOWER($H257),{"open",""},0)),MIN(TODAY(),$G257),IF($I257="",$G257,$I257))-$F257))</f>
      </c>
      <c r="P257" s="12">
        <f>IF(OR($N257="",$M257="",$M257=0),"",$N257/$M257)</f>
      </c>
      <c r="Q257" s="12">
        <f>IF(OR($P257="",$O257=""),"",$P257*365/$O257)</f>
      </c>
      <c r="R257">
        <f>IF($N257="",0,$M257*$O257)</f>
      </c>
      <c r="S257">
        <f>IF(OR($A257="",LEFT($B257,5)="LEAPS"),0,$D257*100*$E257)</f>
      </c>
    </row>
    <row r="258" spans="1:19" x14ac:dyDescent="0.25">
      <c r="A258" s="13"/>
      <c r="B258" s="14"/>
      <c r="C258" s="15"/>
      <c r="D258" s="15"/>
      <c r="E258" s="16"/>
      <c r="F258" s="17"/>
      <c r="G258" s="17"/>
      <c r="H258" s="14"/>
      <c r="I258" s="17"/>
      <c r="J258" s="15"/>
      <c r="K258" s="15"/>
      <c r="L258" s="15"/>
      <c r="M258" s="9">
        <f>IF($A258="","",IF(LEFT($B258,5)="LEAPS",$D258,$C258)*100*$E258)</f>
      </c>
      <c r="N258" s="10">
        <f>IF(OR($A258="",ISNUMBER(MATCH(LOWER($H258),{"open",""},0))),"",IF(LEFT($B258,5)="LEAPS",-1,1)*($D258-IF(ISNUMBER(MATCH(LOWER($H258),{"closed"},0)),$J258,0))*100*$E258-$K258-$L258)</f>
      </c>
      <c r="O258" s="11">
        <f>IF(OR($A258="",$F258=""),"",MAX(1,IF(ISNUMBER(MATCH(LOWER($H258),{"open",""},0)),MIN(TODAY(),$G258),IF($I258="",$G258,$I258))-$F258))</f>
      </c>
      <c r="P258" s="12">
        <f>IF(OR($N258="",$M258="",$M258=0),"",$N258/$M258)</f>
      </c>
      <c r="Q258" s="12">
        <f>IF(OR($P258="",$O258=""),"",$P258*365/$O258)</f>
      </c>
      <c r="R258">
        <f>IF($N258="",0,$M258*$O258)</f>
      </c>
      <c r="S258">
        <f>IF(OR($A258="",LEFT($B258,5)="LEAPS"),0,$D258*100*$E258)</f>
      </c>
    </row>
    <row r="259" spans="1:19" x14ac:dyDescent="0.25">
      <c r="A259" s="13"/>
      <c r="B259" s="14"/>
      <c r="C259" s="15"/>
      <c r="D259" s="15"/>
      <c r="E259" s="16"/>
      <c r="F259" s="17"/>
      <c r="G259" s="17"/>
      <c r="H259" s="14"/>
      <c r="I259" s="17"/>
      <c r="J259" s="15"/>
      <c r="K259" s="15"/>
      <c r="L259" s="15"/>
      <c r="M259" s="9">
        <f>IF($A259="","",IF(LEFT($B259,5)="LEAPS",$D259,$C259)*100*$E259)</f>
      </c>
      <c r="N259" s="10">
        <f>IF(OR($A259="",ISNUMBER(MATCH(LOWER($H259),{"open",""},0))),"",IF(LEFT($B259,5)="LEAPS",-1,1)*($D259-IF(ISNUMBER(MATCH(LOWER($H259),{"closed"},0)),$J259,0))*100*$E259-$K259-$L259)</f>
      </c>
      <c r="O259" s="11">
        <f>IF(OR($A259="",$F259=""),"",MAX(1,IF(ISNUMBER(MATCH(LOWER($H259),{"open",""},0)),MIN(TODAY(),$G259),IF($I259="",$G259,$I259))-$F259))</f>
      </c>
      <c r="P259" s="12">
        <f>IF(OR($N259="",$M259="",$M259=0),"",$N259/$M259)</f>
      </c>
      <c r="Q259" s="12">
        <f>IF(OR($P259="",$O259=""),"",$P259*365/$O259)</f>
      </c>
      <c r="R259">
        <f>IF($N259="",0,$M259*$O259)</f>
      </c>
      <c r="S259">
        <f>IF(OR($A259="",LEFT($B259,5)="LEAPS"),0,$D259*100*$E259)</f>
      </c>
    </row>
    <row r="260" spans="1:19" x14ac:dyDescent="0.25">
      <c r="A260" s="13"/>
      <c r="B260" s="14"/>
      <c r="C260" s="15"/>
      <c r="D260" s="15"/>
      <c r="E260" s="16"/>
      <c r="F260" s="17"/>
      <c r="G260" s="17"/>
      <c r="H260" s="14"/>
      <c r="I260" s="17"/>
      <c r="J260" s="15"/>
      <c r="K260" s="15"/>
      <c r="L260" s="15"/>
      <c r="M260" s="9">
        <f>IF($A260="","",IF(LEFT($B260,5)="LEAPS",$D260,$C260)*100*$E260)</f>
      </c>
      <c r="N260" s="10">
        <f>IF(OR($A260="",ISNUMBER(MATCH(LOWER($H260),{"open",""},0))),"",IF(LEFT($B260,5)="LEAPS",-1,1)*($D260-IF(ISNUMBER(MATCH(LOWER($H260),{"closed"},0)),$J260,0))*100*$E260-$K260-$L260)</f>
      </c>
      <c r="O260" s="11">
        <f>IF(OR($A260="",$F260=""),"",MAX(1,IF(ISNUMBER(MATCH(LOWER($H260),{"open",""},0)),MIN(TODAY(),$G260),IF($I260="",$G260,$I260))-$F260))</f>
      </c>
      <c r="P260" s="12">
        <f>IF(OR($N260="",$M260="",$M260=0),"",$N260/$M260)</f>
      </c>
      <c r="Q260" s="12">
        <f>IF(OR($P260="",$O260=""),"",$P260*365/$O260)</f>
      </c>
      <c r="R260">
        <f>IF($N260="",0,$M260*$O260)</f>
      </c>
      <c r="S260">
        <f>IF(OR($A260="",LEFT($B260,5)="LEAPS"),0,$D260*100*$E260)</f>
      </c>
    </row>
    <row r="261" spans="1:19" x14ac:dyDescent="0.25">
      <c r="A261" s="13"/>
      <c r="B261" s="14"/>
      <c r="C261" s="15"/>
      <c r="D261" s="15"/>
      <c r="E261" s="16"/>
      <c r="F261" s="17"/>
      <c r="G261" s="17"/>
      <c r="H261" s="14"/>
      <c r="I261" s="17"/>
      <c r="J261" s="15"/>
      <c r="K261" s="15"/>
      <c r="L261" s="15"/>
      <c r="M261" s="9">
        <f>IF($A261="","",IF(LEFT($B261,5)="LEAPS",$D261,$C261)*100*$E261)</f>
      </c>
      <c r="N261" s="10">
        <f>IF(OR($A261="",ISNUMBER(MATCH(LOWER($H261),{"open",""},0))),"",IF(LEFT($B261,5)="LEAPS",-1,1)*($D261-IF(ISNUMBER(MATCH(LOWER($H261),{"closed"},0)),$J261,0))*100*$E261-$K261-$L261)</f>
      </c>
      <c r="O261" s="11">
        <f>IF(OR($A261="",$F261=""),"",MAX(1,IF(ISNUMBER(MATCH(LOWER($H261),{"open",""},0)),MIN(TODAY(),$G261),IF($I261="",$G261,$I261))-$F261))</f>
      </c>
      <c r="P261" s="12">
        <f>IF(OR($N261="",$M261="",$M261=0),"",$N261/$M261)</f>
      </c>
      <c r="Q261" s="12">
        <f>IF(OR($P261="",$O261=""),"",$P261*365/$O261)</f>
      </c>
      <c r="R261">
        <f>IF($N261="",0,$M261*$O261)</f>
      </c>
      <c r="S261">
        <f>IF(OR($A261="",LEFT($B261,5)="LEAPS"),0,$D261*100*$E261)</f>
      </c>
    </row>
    <row r="262" spans="1:19" x14ac:dyDescent="0.25">
      <c r="A262" s="13"/>
      <c r="B262" s="14"/>
      <c r="C262" s="15"/>
      <c r="D262" s="15"/>
      <c r="E262" s="16"/>
      <c r="F262" s="17"/>
      <c r="G262" s="17"/>
      <c r="H262" s="14"/>
      <c r="I262" s="17"/>
      <c r="J262" s="15"/>
      <c r="K262" s="15"/>
      <c r="L262" s="15"/>
      <c r="M262" s="9">
        <f>IF($A262="","",IF(LEFT($B262,5)="LEAPS",$D262,$C262)*100*$E262)</f>
      </c>
      <c r="N262" s="10">
        <f>IF(OR($A262="",ISNUMBER(MATCH(LOWER($H262),{"open",""},0))),"",IF(LEFT($B262,5)="LEAPS",-1,1)*($D262-IF(ISNUMBER(MATCH(LOWER($H262),{"closed"},0)),$J262,0))*100*$E262-$K262-$L262)</f>
      </c>
      <c r="O262" s="11">
        <f>IF(OR($A262="",$F262=""),"",MAX(1,IF(ISNUMBER(MATCH(LOWER($H262),{"open",""},0)),MIN(TODAY(),$G262),IF($I262="",$G262,$I262))-$F262))</f>
      </c>
      <c r="P262" s="12">
        <f>IF(OR($N262="",$M262="",$M262=0),"",$N262/$M262)</f>
      </c>
      <c r="Q262" s="12">
        <f>IF(OR($P262="",$O262=""),"",$P262*365/$O262)</f>
      </c>
      <c r="R262">
        <f>IF($N262="",0,$M262*$O262)</f>
      </c>
      <c r="S262">
        <f>IF(OR($A262="",LEFT($B262,5)="LEAPS"),0,$D262*100*$E262)</f>
      </c>
    </row>
    <row r="263" spans="1:19" x14ac:dyDescent="0.25">
      <c r="A263" s="13"/>
      <c r="B263" s="14"/>
      <c r="C263" s="15"/>
      <c r="D263" s="15"/>
      <c r="E263" s="16"/>
      <c r="F263" s="17"/>
      <c r="G263" s="17"/>
      <c r="H263" s="14"/>
      <c r="I263" s="17"/>
      <c r="J263" s="15"/>
      <c r="K263" s="15"/>
      <c r="L263" s="15"/>
      <c r="M263" s="9">
        <f>IF($A263="","",IF(LEFT($B263,5)="LEAPS",$D263,$C263)*100*$E263)</f>
      </c>
      <c r="N263" s="10">
        <f>IF(OR($A263="",ISNUMBER(MATCH(LOWER($H263),{"open",""},0))),"",IF(LEFT($B263,5)="LEAPS",-1,1)*($D263-IF(ISNUMBER(MATCH(LOWER($H263),{"closed"},0)),$J263,0))*100*$E263-$K263-$L263)</f>
      </c>
      <c r="O263" s="11">
        <f>IF(OR($A263="",$F263=""),"",MAX(1,IF(ISNUMBER(MATCH(LOWER($H263),{"open",""},0)),MIN(TODAY(),$G263),IF($I263="",$G263,$I263))-$F263))</f>
      </c>
      <c r="P263" s="12">
        <f>IF(OR($N263="",$M263="",$M263=0),"",$N263/$M263)</f>
      </c>
      <c r="Q263" s="12">
        <f>IF(OR($P263="",$O263=""),"",$P263*365/$O263)</f>
      </c>
      <c r="R263">
        <f>IF($N263="",0,$M263*$O263)</f>
      </c>
      <c r="S263">
        <f>IF(OR($A263="",LEFT($B263,5)="LEAPS"),0,$D263*100*$E263)</f>
      </c>
    </row>
    <row r="264" spans="1:19" x14ac:dyDescent="0.25">
      <c r="A264" s="13"/>
      <c r="B264" s="14"/>
      <c r="C264" s="15"/>
      <c r="D264" s="15"/>
      <c r="E264" s="16"/>
      <c r="F264" s="17"/>
      <c r="G264" s="17"/>
      <c r="H264" s="14"/>
      <c r="I264" s="17"/>
      <c r="J264" s="15"/>
      <c r="K264" s="15"/>
      <c r="L264" s="15"/>
      <c r="M264" s="9">
        <f>IF($A264="","",IF(LEFT($B264,5)="LEAPS",$D264,$C264)*100*$E264)</f>
      </c>
      <c r="N264" s="10">
        <f>IF(OR($A264="",ISNUMBER(MATCH(LOWER($H264),{"open",""},0))),"",IF(LEFT($B264,5)="LEAPS",-1,1)*($D264-IF(ISNUMBER(MATCH(LOWER($H264),{"closed"},0)),$J264,0))*100*$E264-$K264-$L264)</f>
      </c>
      <c r="O264" s="11">
        <f>IF(OR($A264="",$F264=""),"",MAX(1,IF(ISNUMBER(MATCH(LOWER($H264),{"open",""},0)),MIN(TODAY(),$G264),IF($I264="",$G264,$I264))-$F264))</f>
      </c>
      <c r="P264" s="12">
        <f>IF(OR($N264="",$M264="",$M264=0),"",$N264/$M264)</f>
      </c>
      <c r="Q264" s="12">
        <f>IF(OR($P264="",$O264=""),"",$P264*365/$O264)</f>
      </c>
      <c r="R264">
        <f>IF($N264="",0,$M264*$O264)</f>
      </c>
      <c r="S264">
        <f>IF(OR($A264="",LEFT($B264,5)="LEAPS"),0,$D264*100*$E264)</f>
      </c>
    </row>
    <row r="265" spans="1:19" x14ac:dyDescent="0.25">
      <c r="A265" s="13"/>
      <c r="B265" s="14"/>
      <c r="C265" s="15"/>
      <c r="D265" s="15"/>
      <c r="E265" s="16"/>
      <c r="F265" s="17"/>
      <c r="G265" s="17"/>
      <c r="H265" s="14"/>
      <c r="I265" s="17"/>
      <c r="J265" s="15"/>
      <c r="K265" s="15"/>
      <c r="L265" s="15"/>
      <c r="M265" s="9">
        <f>IF($A265="","",IF(LEFT($B265,5)="LEAPS",$D265,$C265)*100*$E265)</f>
      </c>
      <c r="N265" s="10">
        <f>IF(OR($A265="",ISNUMBER(MATCH(LOWER($H265),{"open",""},0))),"",IF(LEFT($B265,5)="LEAPS",-1,1)*($D265-IF(ISNUMBER(MATCH(LOWER($H265),{"closed"},0)),$J265,0))*100*$E265-$K265-$L265)</f>
      </c>
      <c r="O265" s="11">
        <f>IF(OR($A265="",$F265=""),"",MAX(1,IF(ISNUMBER(MATCH(LOWER($H265),{"open",""},0)),MIN(TODAY(),$G265),IF($I265="",$G265,$I265))-$F265))</f>
      </c>
      <c r="P265" s="12">
        <f>IF(OR($N265="",$M265="",$M265=0),"",$N265/$M265)</f>
      </c>
      <c r="Q265" s="12">
        <f>IF(OR($P265="",$O265=""),"",$P265*365/$O265)</f>
      </c>
      <c r="R265">
        <f>IF($N265="",0,$M265*$O265)</f>
      </c>
      <c r="S265">
        <f>IF(OR($A265="",LEFT($B265,5)="LEAPS"),0,$D265*100*$E265)</f>
      </c>
    </row>
    <row r="266" spans="1:19" x14ac:dyDescent="0.25">
      <c r="A266" s="13"/>
      <c r="B266" s="14"/>
      <c r="C266" s="15"/>
      <c r="D266" s="15"/>
      <c r="E266" s="16"/>
      <c r="F266" s="17"/>
      <c r="G266" s="17"/>
      <c r="H266" s="14"/>
      <c r="I266" s="17"/>
      <c r="J266" s="15"/>
      <c r="K266" s="15"/>
      <c r="L266" s="15"/>
      <c r="M266" s="9">
        <f>IF($A266="","",IF(LEFT($B266,5)="LEAPS",$D266,$C266)*100*$E266)</f>
      </c>
      <c r="N266" s="10">
        <f>IF(OR($A266="",ISNUMBER(MATCH(LOWER($H266),{"open",""},0))),"",IF(LEFT($B266,5)="LEAPS",-1,1)*($D266-IF(ISNUMBER(MATCH(LOWER($H266),{"closed"},0)),$J266,0))*100*$E266-$K266-$L266)</f>
      </c>
      <c r="O266" s="11">
        <f>IF(OR($A266="",$F266=""),"",MAX(1,IF(ISNUMBER(MATCH(LOWER($H266),{"open",""},0)),MIN(TODAY(),$G266),IF($I266="",$G266,$I266))-$F266))</f>
      </c>
      <c r="P266" s="12">
        <f>IF(OR($N266="",$M266="",$M266=0),"",$N266/$M266)</f>
      </c>
      <c r="Q266" s="12">
        <f>IF(OR($P266="",$O266=""),"",$P266*365/$O266)</f>
      </c>
      <c r="R266">
        <f>IF($N266="",0,$M266*$O266)</f>
      </c>
      <c r="S266">
        <f>IF(OR($A266="",LEFT($B266,5)="LEAPS"),0,$D266*100*$E266)</f>
      </c>
    </row>
    <row r="267" spans="1:19" x14ac:dyDescent="0.25">
      <c r="A267" s="13"/>
      <c r="B267" s="14"/>
      <c r="C267" s="15"/>
      <c r="D267" s="15"/>
      <c r="E267" s="16"/>
      <c r="F267" s="17"/>
      <c r="G267" s="17"/>
      <c r="H267" s="14"/>
      <c r="I267" s="17"/>
      <c r="J267" s="15"/>
      <c r="K267" s="15"/>
      <c r="L267" s="15"/>
      <c r="M267" s="9">
        <f>IF($A267="","",IF(LEFT($B267,5)="LEAPS",$D267,$C267)*100*$E267)</f>
      </c>
      <c r="N267" s="10">
        <f>IF(OR($A267="",ISNUMBER(MATCH(LOWER($H267),{"open",""},0))),"",IF(LEFT($B267,5)="LEAPS",-1,1)*($D267-IF(ISNUMBER(MATCH(LOWER($H267),{"closed"},0)),$J267,0))*100*$E267-$K267-$L267)</f>
      </c>
      <c r="O267" s="11">
        <f>IF(OR($A267="",$F267=""),"",MAX(1,IF(ISNUMBER(MATCH(LOWER($H267),{"open",""},0)),MIN(TODAY(),$G267),IF($I267="",$G267,$I267))-$F267))</f>
      </c>
      <c r="P267" s="12">
        <f>IF(OR($N267="",$M267="",$M267=0),"",$N267/$M267)</f>
      </c>
      <c r="Q267" s="12">
        <f>IF(OR($P267="",$O267=""),"",$P267*365/$O267)</f>
      </c>
      <c r="R267">
        <f>IF($N267="",0,$M267*$O267)</f>
      </c>
      <c r="S267">
        <f>IF(OR($A267="",LEFT($B267,5)="LEAPS"),0,$D267*100*$E267)</f>
      </c>
    </row>
    <row r="268" spans="1:19" x14ac:dyDescent="0.25">
      <c r="A268" s="13"/>
      <c r="B268" s="14"/>
      <c r="C268" s="15"/>
      <c r="D268" s="15"/>
      <c r="E268" s="16"/>
      <c r="F268" s="17"/>
      <c r="G268" s="17"/>
      <c r="H268" s="14"/>
      <c r="I268" s="17"/>
      <c r="J268" s="15"/>
      <c r="K268" s="15"/>
      <c r="L268" s="15"/>
      <c r="M268" s="9">
        <f>IF($A268="","",IF(LEFT($B268,5)="LEAPS",$D268,$C268)*100*$E268)</f>
      </c>
      <c r="N268" s="10">
        <f>IF(OR($A268="",ISNUMBER(MATCH(LOWER($H268),{"open",""},0))),"",IF(LEFT($B268,5)="LEAPS",-1,1)*($D268-IF(ISNUMBER(MATCH(LOWER($H268),{"closed"},0)),$J268,0))*100*$E268-$K268-$L268)</f>
      </c>
      <c r="O268" s="11">
        <f>IF(OR($A268="",$F268=""),"",MAX(1,IF(ISNUMBER(MATCH(LOWER($H268),{"open",""},0)),MIN(TODAY(),$G268),IF($I268="",$G268,$I268))-$F268))</f>
      </c>
      <c r="P268" s="12">
        <f>IF(OR($N268="",$M268="",$M268=0),"",$N268/$M268)</f>
      </c>
      <c r="Q268" s="12">
        <f>IF(OR($P268="",$O268=""),"",$P268*365/$O268)</f>
      </c>
      <c r="R268">
        <f>IF($N268="",0,$M268*$O268)</f>
      </c>
      <c r="S268">
        <f>IF(OR($A268="",LEFT($B268,5)="LEAPS"),0,$D268*100*$E268)</f>
      </c>
    </row>
    <row r="269" spans="1:19" x14ac:dyDescent="0.25">
      <c r="A269" s="13"/>
      <c r="B269" s="14"/>
      <c r="C269" s="15"/>
      <c r="D269" s="15"/>
      <c r="E269" s="16"/>
      <c r="F269" s="17"/>
      <c r="G269" s="17"/>
      <c r="H269" s="14"/>
      <c r="I269" s="17"/>
      <c r="J269" s="15"/>
      <c r="K269" s="15"/>
      <c r="L269" s="15"/>
      <c r="M269" s="9">
        <f>IF($A269="","",IF(LEFT($B269,5)="LEAPS",$D269,$C269)*100*$E269)</f>
      </c>
      <c r="N269" s="10">
        <f>IF(OR($A269="",ISNUMBER(MATCH(LOWER($H269),{"open",""},0))),"",IF(LEFT($B269,5)="LEAPS",-1,1)*($D269-IF(ISNUMBER(MATCH(LOWER($H269),{"closed"},0)),$J269,0))*100*$E269-$K269-$L269)</f>
      </c>
      <c r="O269" s="11">
        <f>IF(OR($A269="",$F269=""),"",MAX(1,IF(ISNUMBER(MATCH(LOWER($H269),{"open",""},0)),MIN(TODAY(),$G269),IF($I269="",$G269,$I269))-$F269))</f>
      </c>
      <c r="P269" s="12">
        <f>IF(OR($N269="",$M269="",$M269=0),"",$N269/$M269)</f>
      </c>
      <c r="Q269" s="12">
        <f>IF(OR($P269="",$O269=""),"",$P269*365/$O269)</f>
      </c>
      <c r="R269">
        <f>IF($N269="",0,$M269*$O269)</f>
      </c>
      <c r="S269">
        <f>IF(OR($A269="",LEFT($B269,5)="LEAPS"),0,$D269*100*$E269)</f>
      </c>
    </row>
    <row r="270" spans="1:19" x14ac:dyDescent="0.25">
      <c r="A270" s="13"/>
      <c r="B270" s="14"/>
      <c r="C270" s="15"/>
      <c r="D270" s="15"/>
      <c r="E270" s="16"/>
      <c r="F270" s="17"/>
      <c r="G270" s="17"/>
      <c r="H270" s="14"/>
      <c r="I270" s="17"/>
      <c r="J270" s="15"/>
      <c r="K270" s="15"/>
      <c r="L270" s="15"/>
      <c r="M270" s="9">
        <f>IF($A270="","",IF(LEFT($B270,5)="LEAPS",$D270,$C270)*100*$E270)</f>
      </c>
      <c r="N270" s="10">
        <f>IF(OR($A270="",ISNUMBER(MATCH(LOWER($H270),{"open",""},0))),"",IF(LEFT($B270,5)="LEAPS",-1,1)*($D270-IF(ISNUMBER(MATCH(LOWER($H270),{"closed"},0)),$J270,0))*100*$E270-$K270-$L270)</f>
      </c>
      <c r="O270" s="11">
        <f>IF(OR($A270="",$F270=""),"",MAX(1,IF(ISNUMBER(MATCH(LOWER($H270),{"open",""},0)),MIN(TODAY(),$G270),IF($I270="",$G270,$I270))-$F270))</f>
      </c>
      <c r="P270" s="12">
        <f>IF(OR($N270="",$M270="",$M270=0),"",$N270/$M270)</f>
      </c>
      <c r="Q270" s="12">
        <f>IF(OR($P270="",$O270=""),"",$P270*365/$O270)</f>
      </c>
      <c r="R270">
        <f>IF($N270="",0,$M270*$O270)</f>
      </c>
      <c r="S270">
        <f>IF(OR($A270="",LEFT($B270,5)="LEAPS"),0,$D270*100*$E270)</f>
      </c>
    </row>
    <row r="271" spans="1:19" x14ac:dyDescent="0.25">
      <c r="A271" s="13"/>
      <c r="B271" s="14"/>
      <c r="C271" s="15"/>
      <c r="D271" s="15"/>
      <c r="E271" s="16"/>
      <c r="F271" s="17"/>
      <c r="G271" s="17"/>
      <c r="H271" s="14"/>
      <c r="I271" s="17"/>
      <c r="J271" s="15"/>
      <c r="K271" s="15"/>
      <c r="L271" s="15"/>
      <c r="M271" s="9">
        <f>IF($A271="","",IF(LEFT($B271,5)="LEAPS",$D271,$C271)*100*$E271)</f>
      </c>
      <c r="N271" s="10">
        <f>IF(OR($A271="",ISNUMBER(MATCH(LOWER($H271),{"open",""},0))),"",IF(LEFT($B271,5)="LEAPS",-1,1)*($D271-IF(ISNUMBER(MATCH(LOWER($H271),{"closed"},0)),$J271,0))*100*$E271-$K271-$L271)</f>
      </c>
      <c r="O271" s="11">
        <f>IF(OR($A271="",$F271=""),"",MAX(1,IF(ISNUMBER(MATCH(LOWER($H271),{"open",""},0)),MIN(TODAY(),$G271),IF($I271="",$G271,$I271))-$F271))</f>
      </c>
      <c r="P271" s="12">
        <f>IF(OR($N271="",$M271="",$M271=0),"",$N271/$M271)</f>
      </c>
      <c r="Q271" s="12">
        <f>IF(OR($P271="",$O271=""),"",$P271*365/$O271)</f>
      </c>
      <c r="R271">
        <f>IF($N271="",0,$M271*$O271)</f>
      </c>
      <c r="S271">
        <f>IF(OR($A271="",LEFT($B271,5)="LEAPS"),0,$D271*100*$E271)</f>
      </c>
    </row>
    <row r="272" spans="1:19" x14ac:dyDescent="0.25">
      <c r="A272" s="13"/>
      <c r="B272" s="14"/>
      <c r="C272" s="15"/>
      <c r="D272" s="15"/>
      <c r="E272" s="16"/>
      <c r="F272" s="17"/>
      <c r="G272" s="17"/>
      <c r="H272" s="14"/>
      <c r="I272" s="17"/>
      <c r="J272" s="15"/>
      <c r="K272" s="15"/>
      <c r="L272" s="15"/>
      <c r="M272" s="9">
        <f>IF($A272="","",IF(LEFT($B272,5)="LEAPS",$D272,$C272)*100*$E272)</f>
      </c>
      <c r="N272" s="10">
        <f>IF(OR($A272="",ISNUMBER(MATCH(LOWER($H272),{"open",""},0))),"",IF(LEFT($B272,5)="LEAPS",-1,1)*($D272-IF(ISNUMBER(MATCH(LOWER($H272),{"closed"},0)),$J272,0))*100*$E272-$K272-$L272)</f>
      </c>
      <c r="O272" s="11">
        <f>IF(OR($A272="",$F272=""),"",MAX(1,IF(ISNUMBER(MATCH(LOWER($H272),{"open",""},0)),MIN(TODAY(),$G272),IF($I272="",$G272,$I272))-$F272))</f>
      </c>
      <c r="P272" s="12">
        <f>IF(OR($N272="",$M272="",$M272=0),"",$N272/$M272)</f>
      </c>
      <c r="Q272" s="12">
        <f>IF(OR($P272="",$O272=""),"",$P272*365/$O272)</f>
      </c>
      <c r="R272">
        <f>IF($N272="",0,$M272*$O272)</f>
      </c>
      <c r="S272">
        <f>IF(OR($A272="",LEFT($B272,5)="LEAPS"),0,$D272*100*$E272)</f>
      </c>
    </row>
    <row r="273" spans="1:19" x14ac:dyDescent="0.25">
      <c r="A273" s="13"/>
      <c r="B273" s="14"/>
      <c r="C273" s="15"/>
      <c r="D273" s="15"/>
      <c r="E273" s="16"/>
      <c r="F273" s="17"/>
      <c r="G273" s="17"/>
      <c r="H273" s="14"/>
      <c r="I273" s="17"/>
      <c r="J273" s="15"/>
      <c r="K273" s="15"/>
      <c r="L273" s="15"/>
      <c r="M273" s="9">
        <f>IF($A273="","",IF(LEFT($B273,5)="LEAPS",$D273,$C273)*100*$E273)</f>
      </c>
      <c r="N273" s="10">
        <f>IF(OR($A273="",ISNUMBER(MATCH(LOWER($H273),{"open",""},0))),"",IF(LEFT($B273,5)="LEAPS",-1,1)*($D273-IF(ISNUMBER(MATCH(LOWER($H273),{"closed"},0)),$J273,0))*100*$E273-$K273-$L273)</f>
      </c>
      <c r="O273" s="11">
        <f>IF(OR($A273="",$F273=""),"",MAX(1,IF(ISNUMBER(MATCH(LOWER($H273),{"open",""},0)),MIN(TODAY(),$G273),IF($I273="",$G273,$I273))-$F273))</f>
      </c>
      <c r="P273" s="12">
        <f>IF(OR($N273="",$M273="",$M273=0),"",$N273/$M273)</f>
      </c>
      <c r="Q273" s="12">
        <f>IF(OR($P273="",$O273=""),"",$P273*365/$O273)</f>
      </c>
      <c r="R273">
        <f>IF($N273="",0,$M273*$O273)</f>
      </c>
      <c r="S273">
        <f>IF(OR($A273="",LEFT($B273,5)="LEAPS"),0,$D273*100*$E273)</f>
      </c>
    </row>
    <row r="274" spans="1:19" x14ac:dyDescent="0.25">
      <c r="A274" s="13"/>
      <c r="B274" s="14"/>
      <c r="C274" s="15"/>
      <c r="D274" s="15"/>
      <c r="E274" s="16"/>
      <c r="F274" s="17"/>
      <c r="G274" s="17"/>
      <c r="H274" s="14"/>
      <c r="I274" s="17"/>
      <c r="J274" s="15"/>
      <c r="K274" s="15"/>
      <c r="L274" s="15"/>
      <c r="M274" s="9">
        <f>IF($A274="","",IF(LEFT($B274,5)="LEAPS",$D274,$C274)*100*$E274)</f>
      </c>
      <c r="N274" s="10">
        <f>IF(OR($A274="",ISNUMBER(MATCH(LOWER($H274),{"open",""},0))),"",IF(LEFT($B274,5)="LEAPS",-1,1)*($D274-IF(ISNUMBER(MATCH(LOWER($H274),{"closed"},0)),$J274,0))*100*$E274-$K274-$L274)</f>
      </c>
      <c r="O274" s="11">
        <f>IF(OR($A274="",$F274=""),"",MAX(1,IF(ISNUMBER(MATCH(LOWER($H274),{"open",""},0)),MIN(TODAY(),$G274),IF($I274="",$G274,$I274))-$F274))</f>
      </c>
      <c r="P274" s="12">
        <f>IF(OR($N274="",$M274="",$M274=0),"",$N274/$M274)</f>
      </c>
      <c r="Q274" s="12">
        <f>IF(OR($P274="",$O274=""),"",$P274*365/$O274)</f>
      </c>
      <c r="R274">
        <f>IF($N274="",0,$M274*$O274)</f>
      </c>
      <c r="S274">
        <f>IF(OR($A274="",LEFT($B274,5)="LEAPS"),0,$D274*100*$E274)</f>
      </c>
    </row>
    <row r="275" spans="1:19" x14ac:dyDescent="0.25">
      <c r="A275" s="13"/>
      <c r="B275" s="14"/>
      <c r="C275" s="15"/>
      <c r="D275" s="15"/>
      <c r="E275" s="16"/>
      <c r="F275" s="17"/>
      <c r="G275" s="17"/>
      <c r="H275" s="14"/>
      <c r="I275" s="17"/>
      <c r="J275" s="15"/>
      <c r="K275" s="15"/>
      <c r="L275" s="15"/>
      <c r="M275" s="9">
        <f>IF($A275="","",IF(LEFT($B275,5)="LEAPS",$D275,$C275)*100*$E275)</f>
      </c>
      <c r="N275" s="10">
        <f>IF(OR($A275="",ISNUMBER(MATCH(LOWER($H275),{"open",""},0))),"",IF(LEFT($B275,5)="LEAPS",-1,1)*($D275-IF(ISNUMBER(MATCH(LOWER($H275),{"closed"},0)),$J275,0))*100*$E275-$K275-$L275)</f>
      </c>
      <c r="O275" s="11">
        <f>IF(OR($A275="",$F275=""),"",MAX(1,IF(ISNUMBER(MATCH(LOWER($H275),{"open",""},0)),MIN(TODAY(),$G275),IF($I275="",$G275,$I275))-$F275))</f>
      </c>
      <c r="P275" s="12">
        <f>IF(OR($N275="",$M275="",$M275=0),"",$N275/$M275)</f>
      </c>
      <c r="Q275" s="12">
        <f>IF(OR($P275="",$O275=""),"",$P275*365/$O275)</f>
      </c>
      <c r="R275">
        <f>IF($N275="",0,$M275*$O275)</f>
      </c>
      <c r="S275">
        <f>IF(OR($A275="",LEFT($B275,5)="LEAPS"),0,$D275*100*$E275)</f>
      </c>
    </row>
    <row r="276" spans="1:19" x14ac:dyDescent="0.25">
      <c r="A276" s="13"/>
      <c r="B276" s="14"/>
      <c r="C276" s="15"/>
      <c r="D276" s="15"/>
      <c r="E276" s="16"/>
      <c r="F276" s="17"/>
      <c r="G276" s="17"/>
      <c r="H276" s="14"/>
      <c r="I276" s="17"/>
      <c r="J276" s="15"/>
      <c r="K276" s="15"/>
      <c r="L276" s="15"/>
      <c r="M276" s="9">
        <f>IF($A276="","",IF(LEFT($B276,5)="LEAPS",$D276,$C276)*100*$E276)</f>
      </c>
      <c r="N276" s="10">
        <f>IF(OR($A276="",ISNUMBER(MATCH(LOWER($H276),{"open",""},0))),"",IF(LEFT($B276,5)="LEAPS",-1,1)*($D276-IF(ISNUMBER(MATCH(LOWER($H276),{"closed"},0)),$J276,0))*100*$E276-$K276-$L276)</f>
      </c>
      <c r="O276" s="11">
        <f>IF(OR($A276="",$F276=""),"",MAX(1,IF(ISNUMBER(MATCH(LOWER($H276),{"open",""},0)),MIN(TODAY(),$G276),IF($I276="",$G276,$I276))-$F276))</f>
      </c>
      <c r="P276" s="12">
        <f>IF(OR($N276="",$M276="",$M276=0),"",$N276/$M276)</f>
      </c>
      <c r="Q276" s="12">
        <f>IF(OR($P276="",$O276=""),"",$P276*365/$O276)</f>
      </c>
      <c r="R276">
        <f>IF($N276="",0,$M276*$O276)</f>
      </c>
      <c r="S276">
        <f>IF(OR($A276="",LEFT($B276,5)="LEAPS"),0,$D276*100*$E276)</f>
      </c>
    </row>
    <row r="277" spans="1:19" x14ac:dyDescent="0.25">
      <c r="A277" s="13"/>
      <c r="B277" s="14"/>
      <c r="C277" s="15"/>
      <c r="D277" s="15"/>
      <c r="E277" s="16"/>
      <c r="F277" s="17"/>
      <c r="G277" s="17"/>
      <c r="H277" s="14"/>
      <c r="I277" s="17"/>
      <c r="J277" s="15"/>
      <c r="K277" s="15"/>
      <c r="L277" s="15"/>
      <c r="M277" s="9">
        <f>IF($A277="","",IF(LEFT($B277,5)="LEAPS",$D277,$C277)*100*$E277)</f>
      </c>
      <c r="N277" s="10">
        <f>IF(OR($A277="",ISNUMBER(MATCH(LOWER($H277),{"open",""},0))),"",IF(LEFT($B277,5)="LEAPS",-1,1)*($D277-IF(ISNUMBER(MATCH(LOWER($H277),{"closed"},0)),$J277,0))*100*$E277-$K277-$L277)</f>
      </c>
      <c r="O277" s="11">
        <f>IF(OR($A277="",$F277=""),"",MAX(1,IF(ISNUMBER(MATCH(LOWER($H277),{"open",""},0)),MIN(TODAY(),$G277),IF($I277="",$G277,$I277))-$F277))</f>
      </c>
      <c r="P277" s="12">
        <f>IF(OR($N277="",$M277="",$M277=0),"",$N277/$M277)</f>
      </c>
      <c r="Q277" s="12">
        <f>IF(OR($P277="",$O277=""),"",$P277*365/$O277)</f>
      </c>
      <c r="R277">
        <f>IF($N277="",0,$M277*$O277)</f>
      </c>
      <c r="S277">
        <f>IF(OR($A277="",LEFT($B277,5)="LEAPS"),0,$D277*100*$E277)</f>
      </c>
    </row>
    <row r="278" spans="1:19" x14ac:dyDescent="0.25">
      <c r="A278" s="13"/>
      <c r="B278" s="14"/>
      <c r="C278" s="15"/>
      <c r="D278" s="15"/>
      <c r="E278" s="16"/>
      <c r="F278" s="17"/>
      <c r="G278" s="17"/>
      <c r="H278" s="14"/>
      <c r="I278" s="17"/>
      <c r="J278" s="15"/>
      <c r="K278" s="15"/>
      <c r="L278" s="15"/>
      <c r="M278" s="9">
        <f>IF($A278="","",IF(LEFT($B278,5)="LEAPS",$D278,$C278)*100*$E278)</f>
      </c>
      <c r="N278" s="10">
        <f>IF(OR($A278="",ISNUMBER(MATCH(LOWER($H278),{"open",""},0))),"",IF(LEFT($B278,5)="LEAPS",-1,1)*($D278-IF(ISNUMBER(MATCH(LOWER($H278),{"closed"},0)),$J278,0))*100*$E278-$K278-$L278)</f>
      </c>
      <c r="O278" s="11">
        <f>IF(OR($A278="",$F278=""),"",MAX(1,IF(ISNUMBER(MATCH(LOWER($H278),{"open",""},0)),MIN(TODAY(),$G278),IF($I278="",$G278,$I278))-$F278))</f>
      </c>
      <c r="P278" s="12">
        <f>IF(OR($N278="",$M278="",$M278=0),"",$N278/$M278)</f>
      </c>
      <c r="Q278" s="12">
        <f>IF(OR($P278="",$O278=""),"",$P278*365/$O278)</f>
      </c>
      <c r="R278">
        <f>IF($N278="",0,$M278*$O278)</f>
      </c>
      <c r="S278">
        <f>IF(OR($A278="",LEFT($B278,5)="LEAPS"),0,$D278*100*$E278)</f>
      </c>
    </row>
    <row r="279" spans="1:19" x14ac:dyDescent="0.25">
      <c r="A279" s="13"/>
      <c r="B279" s="14"/>
      <c r="C279" s="15"/>
      <c r="D279" s="15"/>
      <c r="E279" s="16"/>
      <c r="F279" s="17"/>
      <c r="G279" s="17"/>
      <c r="H279" s="14"/>
      <c r="I279" s="17"/>
      <c r="J279" s="15"/>
      <c r="K279" s="15"/>
      <c r="L279" s="15"/>
      <c r="M279" s="9">
        <f>IF($A279="","",IF(LEFT($B279,5)="LEAPS",$D279,$C279)*100*$E279)</f>
      </c>
      <c r="N279" s="10">
        <f>IF(OR($A279="",ISNUMBER(MATCH(LOWER($H279),{"open",""},0))),"",IF(LEFT($B279,5)="LEAPS",-1,1)*($D279-IF(ISNUMBER(MATCH(LOWER($H279),{"closed"},0)),$J279,0))*100*$E279-$K279-$L279)</f>
      </c>
      <c r="O279" s="11">
        <f>IF(OR($A279="",$F279=""),"",MAX(1,IF(ISNUMBER(MATCH(LOWER($H279),{"open",""},0)),MIN(TODAY(),$G279),IF($I279="",$G279,$I279))-$F279))</f>
      </c>
      <c r="P279" s="12">
        <f>IF(OR($N279="",$M279="",$M279=0),"",$N279/$M279)</f>
      </c>
      <c r="Q279" s="12">
        <f>IF(OR($P279="",$O279=""),"",$P279*365/$O279)</f>
      </c>
      <c r="R279">
        <f>IF($N279="",0,$M279*$O279)</f>
      </c>
      <c r="S279">
        <f>IF(OR($A279="",LEFT($B279,5)="LEAPS"),0,$D279*100*$E279)</f>
      </c>
    </row>
    <row r="280" spans="1:19" x14ac:dyDescent="0.25">
      <c r="A280" s="13"/>
      <c r="B280" s="14"/>
      <c r="C280" s="15"/>
      <c r="D280" s="15"/>
      <c r="E280" s="16"/>
      <c r="F280" s="17"/>
      <c r="G280" s="17"/>
      <c r="H280" s="14"/>
      <c r="I280" s="17"/>
      <c r="J280" s="15"/>
      <c r="K280" s="15"/>
      <c r="L280" s="15"/>
      <c r="M280" s="9">
        <f>IF($A280="","",IF(LEFT($B280,5)="LEAPS",$D280,$C280)*100*$E280)</f>
      </c>
      <c r="N280" s="10">
        <f>IF(OR($A280="",ISNUMBER(MATCH(LOWER($H280),{"open",""},0))),"",IF(LEFT($B280,5)="LEAPS",-1,1)*($D280-IF(ISNUMBER(MATCH(LOWER($H280),{"closed"},0)),$J280,0))*100*$E280-$K280-$L280)</f>
      </c>
      <c r="O280" s="11">
        <f>IF(OR($A280="",$F280=""),"",MAX(1,IF(ISNUMBER(MATCH(LOWER($H280),{"open",""},0)),MIN(TODAY(),$G280),IF($I280="",$G280,$I280))-$F280))</f>
      </c>
      <c r="P280" s="12">
        <f>IF(OR($N280="",$M280="",$M280=0),"",$N280/$M280)</f>
      </c>
      <c r="Q280" s="12">
        <f>IF(OR($P280="",$O280=""),"",$P280*365/$O280)</f>
      </c>
      <c r="R280">
        <f>IF($N280="",0,$M280*$O280)</f>
      </c>
      <c r="S280">
        <f>IF(OR($A280="",LEFT($B280,5)="LEAPS"),0,$D280*100*$E280)</f>
      </c>
    </row>
    <row r="281" spans="1:19" x14ac:dyDescent="0.25">
      <c r="A281" s="13"/>
      <c r="B281" s="14"/>
      <c r="C281" s="15"/>
      <c r="D281" s="15"/>
      <c r="E281" s="16"/>
      <c r="F281" s="17"/>
      <c r="G281" s="17"/>
      <c r="H281" s="14"/>
      <c r="I281" s="17"/>
      <c r="J281" s="15"/>
      <c r="K281" s="15"/>
      <c r="L281" s="15"/>
      <c r="M281" s="9">
        <f>IF($A281="","",IF(LEFT($B281,5)="LEAPS",$D281,$C281)*100*$E281)</f>
      </c>
      <c r="N281" s="10">
        <f>IF(OR($A281="",ISNUMBER(MATCH(LOWER($H281),{"open",""},0))),"",IF(LEFT($B281,5)="LEAPS",-1,1)*($D281-IF(ISNUMBER(MATCH(LOWER($H281),{"closed"},0)),$J281,0))*100*$E281-$K281-$L281)</f>
      </c>
      <c r="O281" s="11">
        <f>IF(OR($A281="",$F281=""),"",MAX(1,IF(ISNUMBER(MATCH(LOWER($H281),{"open",""},0)),MIN(TODAY(),$G281),IF($I281="",$G281,$I281))-$F281))</f>
      </c>
      <c r="P281" s="12">
        <f>IF(OR($N281="",$M281="",$M281=0),"",$N281/$M281)</f>
      </c>
      <c r="Q281" s="12">
        <f>IF(OR($P281="",$O281=""),"",$P281*365/$O281)</f>
      </c>
      <c r="R281">
        <f>IF($N281="",0,$M281*$O281)</f>
      </c>
      <c r="S281">
        <f>IF(OR($A281="",LEFT($B281,5)="LEAPS"),0,$D281*100*$E281)</f>
      </c>
    </row>
    <row r="282" spans="1:19" x14ac:dyDescent="0.25">
      <c r="A282" s="13"/>
      <c r="B282" s="14"/>
      <c r="C282" s="15"/>
      <c r="D282" s="15"/>
      <c r="E282" s="16"/>
      <c r="F282" s="17"/>
      <c r="G282" s="17"/>
      <c r="H282" s="14"/>
      <c r="I282" s="17"/>
      <c r="J282" s="15"/>
      <c r="K282" s="15"/>
      <c r="L282" s="15"/>
      <c r="M282" s="9">
        <f>IF($A282="","",IF(LEFT($B282,5)="LEAPS",$D282,$C282)*100*$E282)</f>
      </c>
      <c r="N282" s="10">
        <f>IF(OR($A282="",ISNUMBER(MATCH(LOWER($H282),{"open",""},0))),"",IF(LEFT($B282,5)="LEAPS",-1,1)*($D282-IF(ISNUMBER(MATCH(LOWER($H282),{"closed"},0)),$J282,0))*100*$E282-$K282-$L282)</f>
      </c>
      <c r="O282" s="11">
        <f>IF(OR($A282="",$F282=""),"",MAX(1,IF(ISNUMBER(MATCH(LOWER($H282),{"open",""},0)),MIN(TODAY(),$G282),IF($I282="",$G282,$I282))-$F282))</f>
      </c>
      <c r="P282" s="12">
        <f>IF(OR($N282="",$M282="",$M282=0),"",$N282/$M282)</f>
      </c>
      <c r="Q282" s="12">
        <f>IF(OR($P282="",$O282=""),"",$P282*365/$O282)</f>
      </c>
      <c r="R282">
        <f>IF($N282="",0,$M282*$O282)</f>
      </c>
      <c r="S282">
        <f>IF(OR($A282="",LEFT($B282,5)="LEAPS"),0,$D282*100*$E282)</f>
      </c>
    </row>
    <row r="283" spans="1:19" x14ac:dyDescent="0.25">
      <c r="A283" s="13"/>
      <c r="B283" s="14"/>
      <c r="C283" s="15"/>
      <c r="D283" s="15"/>
      <c r="E283" s="16"/>
      <c r="F283" s="17"/>
      <c r="G283" s="17"/>
      <c r="H283" s="14"/>
      <c r="I283" s="17"/>
      <c r="J283" s="15"/>
      <c r="K283" s="15"/>
      <c r="L283" s="15"/>
      <c r="M283" s="9">
        <f>IF($A283="","",IF(LEFT($B283,5)="LEAPS",$D283,$C283)*100*$E283)</f>
      </c>
      <c r="N283" s="10">
        <f>IF(OR($A283="",ISNUMBER(MATCH(LOWER($H283),{"open",""},0))),"",IF(LEFT($B283,5)="LEAPS",-1,1)*($D283-IF(ISNUMBER(MATCH(LOWER($H283),{"closed"},0)),$J283,0))*100*$E283-$K283-$L283)</f>
      </c>
      <c r="O283" s="11">
        <f>IF(OR($A283="",$F283=""),"",MAX(1,IF(ISNUMBER(MATCH(LOWER($H283),{"open",""},0)),MIN(TODAY(),$G283),IF($I283="",$G283,$I283))-$F283))</f>
      </c>
      <c r="P283" s="12">
        <f>IF(OR($N283="",$M283="",$M283=0),"",$N283/$M283)</f>
      </c>
      <c r="Q283" s="12">
        <f>IF(OR($P283="",$O283=""),"",$P283*365/$O283)</f>
      </c>
      <c r="R283">
        <f>IF($N283="",0,$M283*$O283)</f>
      </c>
      <c r="S283">
        <f>IF(OR($A283="",LEFT($B283,5)="LEAPS"),0,$D283*100*$E283)</f>
      </c>
    </row>
    <row r="284" spans="1:19" x14ac:dyDescent="0.25">
      <c r="A284" s="13"/>
      <c r="B284" s="14"/>
      <c r="C284" s="15"/>
      <c r="D284" s="15"/>
      <c r="E284" s="16"/>
      <c r="F284" s="17"/>
      <c r="G284" s="17"/>
      <c r="H284" s="14"/>
      <c r="I284" s="17"/>
      <c r="J284" s="15"/>
      <c r="K284" s="15"/>
      <c r="L284" s="15"/>
      <c r="M284" s="9">
        <f>IF($A284="","",IF(LEFT($B284,5)="LEAPS",$D284,$C284)*100*$E284)</f>
      </c>
      <c r="N284" s="10">
        <f>IF(OR($A284="",ISNUMBER(MATCH(LOWER($H284),{"open",""},0))),"",IF(LEFT($B284,5)="LEAPS",-1,1)*($D284-IF(ISNUMBER(MATCH(LOWER($H284),{"closed"},0)),$J284,0))*100*$E284-$K284-$L284)</f>
      </c>
      <c r="O284" s="11">
        <f>IF(OR($A284="",$F284=""),"",MAX(1,IF(ISNUMBER(MATCH(LOWER($H284),{"open",""},0)),MIN(TODAY(),$G284),IF($I284="",$G284,$I284))-$F284))</f>
      </c>
      <c r="P284" s="12">
        <f>IF(OR($N284="",$M284="",$M284=0),"",$N284/$M284)</f>
      </c>
      <c r="Q284" s="12">
        <f>IF(OR($P284="",$O284=""),"",$P284*365/$O284)</f>
      </c>
      <c r="R284">
        <f>IF($N284="",0,$M284*$O284)</f>
      </c>
      <c r="S284">
        <f>IF(OR($A284="",LEFT($B284,5)="LEAPS"),0,$D284*100*$E284)</f>
      </c>
    </row>
    <row r="285" spans="1:19" x14ac:dyDescent="0.25">
      <c r="A285" s="13"/>
      <c r="B285" s="14"/>
      <c r="C285" s="15"/>
      <c r="D285" s="15"/>
      <c r="E285" s="16"/>
      <c r="F285" s="17"/>
      <c r="G285" s="17"/>
      <c r="H285" s="14"/>
      <c r="I285" s="17"/>
      <c r="J285" s="15"/>
      <c r="K285" s="15"/>
      <c r="L285" s="15"/>
      <c r="M285" s="9">
        <f>IF($A285="","",IF(LEFT($B285,5)="LEAPS",$D285,$C285)*100*$E285)</f>
      </c>
      <c r="N285" s="10">
        <f>IF(OR($A285="",ISNUMBER(MATCH(LOWER($H285),{"open",""},0))),"",IF(LEFT($B285,5)="LEAPS",-1,1)*($D285-IF(ISNUMBER(MATCH(LOWER($H285),{"closed"},0)),$J285,0))*100*$E285-$K285-$L285)</f>
      </c>
      <c r="O285" s="11">
        <f>IF(OR($A285="",$F285=""),"",MAX(1,IF(ISNUMBER(MATCH(LOWER($H285),{"open",""},0)),MIN(TODAY(),$G285),IF($I285="",$G285,$I285))-$F285))</f>
      </c>
      <c r="P285" s="12">
        <f>IF(OR($N285="",$M285="",$M285=0),"",$N285/$M285)</f>
      </c>
      <c r="Q285" s="12">
        <f>IF(OR($P285="",$O285=""),"",$P285*365/$O285)</f>
      </c>
      <c r="R285">
        <f>IF($N285="",0,$M285*$O285)</f>
      </c>
      <c r="S285">
        <f>IF(OR($A285="",LEFT($B285,5)="LEAPS"),0,$D285*100*$E285)</f>
      </c>
    </row>
    <row r="286" spans="1:19" x14ac:dyDescent="0.25">
      <c r="A286" s="13"/>
      <c r="B286" s="14"/>
      <c r="C286" s="15"/>
      <c r="D286" s="15"/>
      <c r="E286" s="16"/>
      <c r="F286" s="17"/>
      <c r="G286" s="17"/>
      <c r="H286" s="14"/>
      <c r="I286" s="17"/>
      <c r="J286" s="15"/>
      <c r="K286" s="15"/>
      <c r="L286" s="15"/>
      <c r="M286" s="9">
        <f>IF($A286="","",IF(LEFT($B286,5)="LEAPS",$D286,$C286)*100*$E286)</f>
      </c>
      <c r="N286" s="10">
        <f>IF(OR($A286="",ISNUMBER(MATCH(LOWER($H286),{"open",""},0))),"",IF(LEFT($B286,5)="LEAPS",-1,1)*($D286-IF(ISNUMBER(MATCH(LOWER($H286),{"closed"},0)),$J286,0))*100*$E286-$K286-$L286)</f>
      </c>
      <c r="O286" s="11">
        <f>IF(OR($A286="",$F286=""),"",MAX(1,IF(ISNUMBER(MATCH(LOWER($H286),{"open",""},0)),MIN(TODAY(),$G286),IF($I286="",$G286,$I286))-$F286))</f>
      </c>
      <c r="P286" s="12">
        <f>IF(OR($N286="",$M286="",$M286=0),"",$N286/$M286)</f>
      </c>
      <c r="Q286" s="12">
        <f>IF(OR($P286="",$O286=""),"",$P286*365/$O286)</f>
      </c>
      <c r="R286">
        <f>IF($N286="",0,$M286*$O286)</f>
      </c>
      <c r="S286">
        <f>IF(OR($A286="",LEFT($B286,5)="LEAPS"),0,$D286*100*$E286)</f>
      </c>
    </row>
    <row r="287" spans="1:19" x14ac:dyDescent="0.25">
      <c r="A287" s="13"/>
      <c r="B287" s="14"/>
      <c r="C287" s="15"/>
      <c r="D287" s="15"/>
      <c r="E287" s="16"/>
      <c r="F287" s="17"/>
      <c r="G287" s="17"/>
      <c r="H287" s="14"/>
      <c r="I287" s="17"/>
      <c r="J287" s="15"/>
      <c r="K287" s="15"/>
      <c r="L287" s="15"/>
      <c r="M287" s="9">
        <f>IF($A287="","",IF(LEFT($B287,5)="LEAPS",$D287,$C287)*100*$E287)</f>
      </c>
      <c r="N287" s="10">
        <f>IF(OR($A287="",ISNUMBER(MATCH(LOWER($H287),{"open",""},0))),"",IF(LEFT($B287,5)="LEAPS",-1,1)*($D287-IF(ISNUMBER(MATCH(LOWER($H287),{"closed"},0)),$J287,0))*100*$E287-$K287-$L287)</f>
      </c>
      <c r="O287" s="11">
        <f>IF(OR($A287="",$F287=""),"",MAX(1,IF(ISNUMBER(MATCH(LOWER($H287),{"open",""},0)),MIN(TODAY(),$G287),IF($I287="",$G287,$I287))-$F287))</f>
      </c>
      <c r="P287" s="12">
        <f>IF(OR($N287="",$M287="",$M287=0),"",$N287/$M287)</f>
      </c>
      <c r="Q287" s="12">
        <f>IF(OR($P287="",$O287=""),"",$P287*365/$O287)</f>
      </c>
      <c r="R287">
        <f>IF($N287="",0,$M287*$O287)</f>
      </c>
      <c r="S287">
        <f>IF(OR($A287="",LEFT($B287,5)="LEAPS"),0,$D287*100*$E287)</f>
      </c>
    </row>
    <row r="288" spans="1:19" x14ac:dyDescent="0.25">
      <c r="A288" s="13"/>
      <c r="B288" s="14"/>
      <c r="C288" s="15"/>
      <c r="D288" s="15"/>
      <c r="E288" s="16"/>
      <c r="F288" s="17"/>
      <c r="G288" s="17"/>
      <c r="H288" s="14"/>
      <c r="I288" s="17"/>
      <c r="J288" s="15"/>
      <c r="K288" s="15"/>
      <c r="L288" s="15"/>
      <c r="M288" s="9">
        <f>IF($A288="","",IF(LEFT($B288,5)="LEAPS",$D288,$C288)*100*$E288)</f>
      </c>
      <c r="N288" s="10">
        <f>IF(OR($A288="",ISNUMBER(MATCH(LOWER($H288),{"open",""},0))),"",IF(LEFT($B288,5)="LEAPS",-1,1)*($D288-IF(ISNUMBER(MATCH(LOWER($H288),{"closed"},0)),$J288,0))*100*$E288-$K288-$L288)</f>
      </c>
      <c r="O288" s="11">
        <f>IF(OR($A288="",$F288=""),"",MAX(1,IF(ISNUMBER(MATCH(LOWER($H288),{"open",""},0)),MIN(TODAY(),$G288),IF($I288="",$G288,$I288))-$F288))</f>
      </c>
      <c r="P288" s="12">
        <f>IF(OR($N288="",$M288="",$M288=0),"",$N288/$M288)</f>
      </c>
      <c r="Q288" s="12">
        <f>IF(OR($P288="",$O288=""),"",$P288*365/$O288)</f>
      </c>
      <c r="R288">
        <f>IF($N288="",0,$M288*$O288)</f>
      </c>
      <c r="S288">
        <f>IF(OR($A288="",LEFT($B288,5)="LEAPS"),0,$D288*100*$E288)</f>
      </c>
    </row>
    <row r="289" spans="1:19" x14ac:dyDescent="0.25">
      <c r="A289" s="13"/>
      <c r="B289" s="14"/>
      <c r="C289" s="15"/>
      <c r="D289" s="15"/>
      <c r="E289" s="16"/>
      <c r="F289" s="17"/>
      <c r="G289" s="17"/>
      <c r="H289" s="14"/>
      <c r="I289" s="17"/>
      <c r="J289" s="15"/>
      <c r="K289" s="15"/>
      <c r="L289" s="15"/>
      <c r="M289" s="9">
        <f>IF($A289="","",IF(LEFT($B289,5)="LEAPS",$D289,$C289)*100*$E289)</f>
      </c>
      <c r="N289" s="10">
        <f>IF(OR($A289="",ISNUMBER(MATCH(LOWER($H289),{"open",""},0))),"",IF(LEFT($B289,5)="LEAPS",-1,1)*($D289-IF(ISNUMBER(MATCH(LOWER($H289),{"closed"},0)),$J289,0))*100*$E289-$K289-$L289)</f>
      </c>
      <c r="O289" s="11">
        <f>IF(OR($A289="",$F289=""),"",MAX(1,IF(ISNUMBER(MATCH(LOWER($H289),{"open",""},0)),MIN(TODAY(),$G289),IF($I289="",$G289,$I289))-$F289))</f>
      </c>
      <c r="P289" s="12">
        <f>IF(OR($N289="",$M289="",$M289=0),"",$N289/$M289)</f>
      </c>
      <c r="Q289" s="12">
        <f>IF(OR($P289="",$O289=""),"",$P289*365/$O289)</f>
      </c>
      <c r="R289">
        <f>IF($N289="",0,$M289*$O289)</f>
      </c>
      <c r="S289">
        <f>IF(OR($A289="",LEFT($B289,5)="LEAPS"),0,$D289*100*$E289)</f>
      </c>
    </row>
    <row r="290" spans="1:19" x14ac:dyDescent="0.25">
      <c r="A290" s="13"/>
      <c r="B290" s="14"/>
      <c r="C290" s="15"/>
      <c r="D290" s="15"/>
      <c r="E290" s="16"/>
      <c r="F290" s="17"/>
      <c r="G290" s="17"/>
      <c r="H290" s="14"/>
      <c r="I290" s="17"/>
      <c r="J290" s="15"/>
      <c r="K290" s="15"/>
      <c r="L290" s="15"/>
      <c r="M290" s="9">
        <f>IF($A290="","",IF(LEFT($B290,5)="LEAPS",$D290,$C290)*100*$E290)</f>
      </c>
      <c r="N290" s="10">
        <f>IF(OR($A290="",ISNUMBER(MATCH(LOWER($H290),{"open",""},0))),"",IF(LEFT($B290,5)="LEAPS",-1,1)*($D290-IF(ISNUMBER(MATCH(LOWER($H290),{"closed"},0)),$J290,0))*100*$E290-$K290-$L290)</f>
      </c>
      <c r="O290" s="11">
        <f>IF(OR($A290="",$F290=""),"",MAX(1,IF(ISNUMBER(MATCH(LOWER($H290),{"open",""},0)),MIN(TODAY(),$G290),IF($I290="",$G290,$I290))-$F290))</f>
      </c>
      <c r="P290" s="12">
        <f>IF(OR($N290="",$M290="",$M290=0),"",$N290/$M290)</f>
      </c>
      <c r="Q290" s="12">
        <f>IF(OR($P290="",$O290=""),"",$P290*365/$O290)</f>
      </c>
      <c r="R290">
        <f>IF($N290="",0,$M290*$O290)</f>
      </c>
      <c r="S290">
        <f>IF(OR($A290="",LEFT($B290,5)="LEAPS"),0,$D290*100*$E290)</f>
      </c>
    </row>
    <row r="291" spans="1:19" x14ac:dyDescent="0.25">
      <c r="A291" s="13"/>
      <c r="B291" s="14"/>
      <c r="C291" s="15"/>
      <c r="D291" s="15"/>
      <c r="E291" s="16"/>
      <c r="F291" s="17"/>
      <c r="G291" s="17"/>
      <c r="H291" s="14"/>
      <c r="I291" s="17"/>
      <c r="J291" s="15"/>
      <c r="K291" s="15"/>
      <c r="L291" s="15"/>
      <c r="M291" s="9">
        <f>IF($A291="","",IF(LEFT($B291,5)="LEAPS",$D291,$C291)*100*$E291)</f>
      </c>
      <c r="N291" s="10">
        <f>IF(OR($A291="",ISNUMBER(MATCH(LOWER($H291),{"open",""},0))),"",IF(LEFT($B291,5)="LEAPS",-1,1)*($D291-IF(ISNUMBER(MATCH(LOWER($H291),{"closed"},0)),$J291,0))*100*$E291-$K291-$L291)</f>
      </c>
      <c r="O291" s="11">
        <f>IF(OR($A291="",$F291=""),"",MAX(1,IF(ISNUMBER(MATCH(LOWER($H291),{"open",""},0)),MIN(TODAY(),$G291),IF($I291="",$G291,$I291))-$F291))</f>
      </c>
      <c r="P291" s="12">
        <f>IF(OR($N291="",$M291="",$M291=0),"",$N291/$M291)</f>
      </c>
      <c r="Q291" s="12">
        <f>IF(OR($P291="",$O291=""),"",$P291*365/$O291)</f>
      </c>
      <c r="R291">
        <f>IF($N291="",0,$M291*$O291)</f>
      </c>
      <c r="S291">
        <f>IF(OR($A291="",LEFT($B291,5)="LEAPS"),0,$D291*100*$E291)</f>
      </c>
    </row>
    <row r="292" spans="1:19" x14ac:dyDescent="0.25">
      <c r="A292" s="13"/>
      <c r="B292" s="14"/>
      <c r="C292" s="15"/>
      <c r="D292" s="15"/>
      <c r="E292" s="16"/>
      <c r="F292" s="17"/>
      <c r="G292" s="17"/>
      <c r="H292" s="14"/>
      <c r="I292" s="17"/>
      <c r="J292" s="15"/>
      <c r="K292" s="15"/>
      <c r="L292" s="15"/>
      <c r="M292" s="9">
        <f>IF($A292="","",IF(LEFT($B292,5)="LEAPS",$D292,$C292)*100*$E292)</f>
      </c>
      <c r="N292" s="10">
        <f>IF(OR($A292="",ISNUMBER(MATCH(LOWER($H292),{"open",""},0))),"",IF(LEFT($B292,5)="LEAPS",-1,1)*($D292-IF(ISNUMBER(MATCH(LOWER($H292),{"closed"},0)),$J292,0))*100*$E292-$K292-$L292)</f>
      </c>
      <c r="O292" s="11">
        <f>IF(OR($A292="",$F292=""),"",MAX(1,IF(ISNUMBER(MATCH(LOWER($H292),{"open",""},0)),MIN(TODAY(),$G292),IF($I292="",$G292,$I292))-$F292))</f>
      </c>
      <c r="P292" s="12">
        <f>IF(OR($N292="",$M292="",$M292=0),"",$N292/$M292)</f>
      </c>
      <c r="Q292" s="12">
        <f>IF(OR($P292="",$O292=""),"",$P292*365/$O292)</f>
      </c>
      <c r="R292">
        <f>IF($N292="",0,$M292*$O292)</f>
      </c>
      <c r="S292">
        <f>IF(OR($A292="",LEFT($B292,5)="LEAPS"),0,$D292*100*$E292)</f>
      </c>
    </row>
    <row r="293" spans="1:19" x14ac:dyDescent="0.25">
      <c r="A293" s="13"/>
      <c r="B293" s="14"/>
      <c r="C293" s="15"/>
      <c r="D293" s="15"/>
      <c r="E293" s="16"/>
      <c r="F293" s="17"/>
      <c r="G293" s="17"/>
      <c r="H293" s="14"/>
      <c r="I293" s="17"/>
      <c r="J293" s="15"/>
      <c r="K293" s="15"/>
      <c r="L293" s="15"/>
      <c r="M293" s="9">
        <f>IF($A293="","",IF(LEFT($B293,5)="LEAPS",$D293,$C293)*100*$E293)</f>
      </c>
      <c r="N293" s="10">
        <f>IF(OR($A293="",ISNUMBER(MATCH(LOWER($H293),{"open",""},0))),"",IF(LEFT($B293,5)="LEAPS",-1,1)*($D293-IF(ISNUMBER(MATCH(LOWER($H293),{"closed"},0)),$J293,0))*100*$E293-$K293-$L293)</f>
      </c>
      <c r="O293" s="11">
        <f>IF(OR($A293="",$F293=""),"",MAX(1,IF(ISNUMBER(MATCH(LOWER($H293),{"open",""},0)),MIN(TODAY(),$G293),IF($I293="",$G293,$I293))-$F293))</f>
      </c>
      <c r="P293" s="12">
        <f>IF(OR($N293="",$M293="",$M293=0),"",$N293/$M293)</f>
      </c>
      <c r="Q293" s="12">
        <f>IF(OR($P293="",$O293=""),"",$P293*365/$O293)</f>
      </c>
      <c r="R293">
        <f>IF($N293="",0,$M293*$O293)</f>
      </c>
      <c r="S293">
        <f>IF(OR($A293="",LEFT($B293,5)="LEAPS"),0,$D293*100*$E293)</f>
      </c>
    </row>
    <row r="294" spans="1:19" x14ac:dyDescent="0.25">
      <c r="A294" s="13"/>
      <c r="B294" s="14"/>
      <c r="C294" s="15"/>
      <c r="D294" s="15"/>
      <c r="E294" s="16"/>
      <c r="F294" s="17"/>
      <c r="G294" s="17"/>
      <c r="H294" s="14"/>
      <c r="I294" s="17"/>
      <c r="J294" s="15"/>
      <c r="K294" s="15"/>
      <c r="L294" s="15"/>
      <c r="M294" s="9">
        <f>IF($A294="","",IF(LEFT($B294,5)="LEAPS",$D294,$C294)*100*$E294)</f>
      </c>
      <c r="N294" s="10">
        <f>IF(OR($A294="",ISNUMBER(MATCH(LOWER($H294),{"open",""},0))),"",IF(LEFT($B294,5)="LEAPS",-1,1)*($D294-IF(ISNUMBER(MATCH(LOWER($H294),{"closed"},0)),$J294,0))*100*$E294-$K294-$L294)</f>
      </c>
      <c r="O294" s="11">
        <f>IF(OR($A294="",$F294=""),"",MAX(1,IF(ISNUMBER(MATCH(LOWER($H294),{"open",""},0)),MIN(TODAY(),$G294),IF($I294="",$G294,$I294))-$F294))</f>
      </c>
      <c r="P294" s="12">
        <f>IF(OR($N294="",$M294="",$M294=0),"",$N294/$M294)</f>
      </c>
      <c r="Q294" s="12">
        <f>IF(OR($P294="",$O294=""),"",$P294*365/$O294)</f>
      </c>
      <c r="R294">
        <f>IF($N294="",0,$M294*$O294)</f>
      </c>
      <c r="S294">
        <f>IF(OR($A294="",LEFT($B294,5)="LEAPS"),0,$D294*100*$E294)</f>
      </c>
    </row>
    <row r="295" spans="1:19" x14ac:dyDescent="0.25">
      <c r="A295" s="13"/>
      <c r="B295" s="14"/>
      <c r="C295" s="15"/>
      <c r="D295" s="15"/>
      <c r="E295" s="16"/>
      <c r="F295" s="17"/>
      <c r="G295" s="17"/>
      <c r="H295" s="14"/>
      <c r="I295" s="17"/>
      <c r="J295" s="15"/>
      <c r="K295" s="15"/>
      <c r="L295" s="15"/>
      <c r="M295" s="9">
        <f>IF($A295="","",IF(LEFT($B295,5)="LEAPS",$D295,$C295)*100*$E295)</f>
      </c>
      <c r="N295" s="10">
        <f>IF(OR($A295="",ISNUMBER(MATCH(LOWER($H295),{"open",""},0))),"",IF(LEFT($B295,5)="LEAPS",-1,1)*($D295-IF(ISNUMBER(MATCH(LOWER($H295),{"closed"},0)),$J295,0))*100*$E295-$K295-$L295)</f>
      </c>
      <c r="O295" s="11">
        <f>IF(OR($A295="",$F295=""),"",MAX(1,IF(ISNUMBER(MATCH(LOWER($H295),{"open",""},0)),MIN(TODAY(),$G295),IF($I295="",$G295,$I295))-$F295))</f>
      </c>
      <c r="P295" s="12">
        <f>IF(OR($N295="",$M295="",$M295=0),"",$N295/$M295)</f>
      </c>
      <c r="Q295" s="12">
        <f>IF(OR($P295="",$O295=""),"",$P295*365/$O295)</f>
      </c>
      <c r="R295">
        <f>IF($N295="",0,$M295*$O295)</f>
      </c>
      <c r="S295">
        <f>IF(OR($A295="",LEFT($B295,5)="LEAPS"),0,$D295*100*$E295)</f>
      </c>
    </row>
    <row r="296" spans="1:19" x14ac:dyDescent="0.25">
      <c r="A296" s="13"/>
      <c r="B296" s="14"/>
      <c r="C296" s="15"/>
      <c r="D296" s="15"/>
      <c r="E296" s="16"/>
      <c r="F296" s="17"/>
      <c r="G296" s="17"/>
      <c r="H296" s="14"/>
      <c r="I296" s="17"/>
      <c r="J296" s="15"/>
      <c r="K296" s="15"/>
      <c r="L296" s="15"/>
      <c r="M296" s="9">
        <f>IF($A296="","",IF(LEFT($B296,5)="LEAPS",$D296,$C296)*100*$E296)</f>
      </c>
      <c r="N296" s="10">
        <f>IF(OR($A296="",ISNUMBER(MATCH(LOWER($H296),{"open",""},0))),"",IF(LEFT($B296,5)="LEAPS",-1,1)*($D296-IF(ISNUMBER(MATCH(LOWER($H296),{"closed"},0)),$J296,0))*100*$E296-$K296-$L296)</f>
      </c>
      <c r="O296" s="11">
        <f>IF(OR($A296="",$F296=""),"",MAX(1,IF(ISNUMBER(MATCH(LOWER($H296),{"open",""},0)),MIN(TODAY(),$G296),IF($I296="",$G296,$I296))-$F296))</f>
      </c>
      <c r="P296" s="12">
        <f>IF(OR($N296="",$M296="",$M296=0),"",$N296/$M296)</f>
      </c>
      <c r="Q296" s="12">
        <f>IF(OR($P296="",$O296=""),"",$P296*365/$O296)</f>
      </c>
      <c r="R296">
        <f>IF($N296="",0,$M296*$O296)</f>
      </c>
      <c r="S296">
        <f>IF(OR($A296="",LEFT($B296,5)="LEAPS"),0,$D296*100*$E296)</f>
      </c>
    </row>
    <row r="297" spans="1:19" x14ac:dyDescent="0.25">
      <c r="A297" s="13"/>
      <c r="B297" s="14"/>
      <c r="C297" s="15"/>
      <c r="D297" s="15"/>
      <c r="E297" s="16"/>
      <c r="F297" s="17"/>
      <c r="G297" s="17"/>
      <c r="H297" s="14"/>
      <c r="I297" s="17"/>
      <c r="J297" s="15"/>
      <c r="K297" s="15"/>
      <c r="L297" s="15"/>
      <c r="M297" s="9">
        <f>IF($A297="","",IF(LEFT($B297,5)="LEAPS",$D297,$C297)*100*$E297)</f>
      </c>
      <c r="N297" s="10">
        <f>IF(OR($A297="",ISNUMBER(MATCH(LOWER($H297),{"open",""},0))),"",IF(LEFT($B297,5)="LEAPS",-1,1)*($D297-IF(ISNUMBER(MATCH(LOWER($H297),{"closed"},0)),$J297,0))*100*$E297-$K297-$L297)</f>
      </c>
      <c r="O297" s="11">
        <f>IF(OR($A297="",$F297=""),"",MAX(1,IF(ISNUMBER(MATCH(LOWER($H297),{"open",""},0)),MIN(TODAY(),$G297),IF($I297="",$G297,$I297))-$F297))</f>
      </c>
      <c r="P297" s="12">
        <f>IF(OR($N297="",$M297="",$M297=0),"",$N297/$M297)</f>
      </c>
      <c r="Q297" s="12">
        <f>IF(OR($P297="",$O297=""),"",$P297*365/$O297)</f>
      </c>
      <c r="R297">
        <f>IF($N297="",0,$M297*$O297)</f>
      </c>
      <c r="S297">
        <f>IF(OR($A297="",LEFT($B297,5)="LEAPS"),0,$D297*100*$E297)</f>
      </c>
    </row>
    <row r="298" spans="1:19" x14ac:dyDescent="0.25">
      <c r="A298" s="13"/>
      <c r="B298" s="14"/>
      <c r="C298" s="15"/>
      <c r="D298" s="15"/>
      <c r="E298" s="16"/>
      <c r="F298" s="17"/>
      <c r="G298" s="17"/>
      <c r="H298" s="14"/>
      <c r="I298" s="17"/>
      <c r="J298" s="15"/>
      <c r="K298" s="15"/>
      <c r="L298" s="15"/>
      <c r="M298" s="9">
        <f>IF($A298="","",IF(LEFT($B298,5)="LEAPS",$D298,$C298)*100*$E298)</f>
      </c>
      <c r="N298" s="10">
        <f>IF(OR($A298="",ISNUMBER(MATCH(LOWER($H298),{"open",""},0))),"",IF(LEFT($B298,5)="LEAPS",-1,1)*($D298-IF(ISNUMBER(MATCH(LOWER($H298),{"closed"},0)),$J298,0))*100*$E298-$K298-$L298)</f>
      </c>
      <c r="O298" s="11">
        <f>IF(OR($A298="",$F298=""),"",MAX(1,IF(ISNUMBER(MATCH(LOWER($H298),{"open",""},0)),MIN(TODAY(),$G298),IF($I298="",$G298,$I298))-$F298))</f>
      </c>
      <c r="P298" s="12">
        <f>IF(OR($N298="",$M298="",$M298=0),"",$N298/$M298)</f>
      </c>
      <c r="Q298" s="12">
        <f>IF(OR($P298="",$O298=""),"",$P298*365/$O298)</f>
      </c>
      <c r="R298">
        <f>IF($N298="",0,$M298*$O298)</f>
      </c>
      <c r="S298">
        <f>IF(OR($A298="",LEFT($B298,5)="LEAPS"),0,$D298*100*$E298)</f>
      </c>
    </row>
    <row r="299" spans="1:19" x14ac:dyDescent="0.25">
      <c r="A299" s="13"/>
      <c r="B299" s="14"/>
      <c r="C299" s="15"/>
      <c r="D299" s="15"/>
      <c r="E299" s="16"/>
      <c r="F299" s="17"/>
      <c r="G299" s="17"/>
      <c r="H299" s="14"/>
      <c r="I299" s="17"/>
      <c r="J299" s="15"/>
      <c r="K299" s="15"/>
      <c r="L299" s="15"/>
      <c r="M299" s="9">
        <f>IF($A299="","",IF(LEFT($B299,5)="LEAPS",$D299,$C299)*100*$E299)</f>
      </c>
      <c r="N299" s="10">
        <f>IF(OR($A299="",ISNUMBER(MATCH(LOWER($H299),{"open",""},0))),"",IF(LEFT($B299,5)="LEAPS",-1,1)*($D299-IF(ISNUMBER(MATCH(LOWER($H299),{"closed"},0)),$J299,0))*100*$E299-$K299-$L299)</f>
      </c>
      <c r="O299" s="11">
        <f>IF(OR($A299="",$F299=""),"",MAX(1,IF(ISNUMBER(MATCH(LOWER($H299),{"open",""},0)),MIN(TODAY(),$G299),IF($I299="",$G299,$I299))-$F299))</f>
      </c>
      <c r="P299" s="12">
        <f>IF(OR($N299="",$M299="",$M299=0),"",$N299/$M299)</f>
      </c>
      <c r="Q299" s="12">
        <f>IF(OR($P299="",$O299=""),"",$P299*365/$O299)</f>
      </c>
      <c r="R299">
        <f>IF($N299="",0,$M299*$O299)</f>
      </c>
      <c r="S299">
        <f>IF(OR($A299="",LEFT($B299,5)="LEAPS"),0,$D299*100*$E299)</f>
      </c>
    </row>
    <row r="300" spans="1:19" x14ac:dyDescent="0.25">
      <c r="A300" s="13"/>
      <c r="B300" s="14"/>
      <c r="C300" s="15"/>
      <c r="D300" s="15"/>
      <c r="E300" s="16"/>
      <c r="F300" s="17"/>
      <c r="G300" s="17"/>
      <c r="H300" s="14"/>
      <c r="I300" s="17"/>
      <c r="J300" s="15"/>
      <c r="K300" s="15"/>
      <c r="L300" s="15"/>
      <c r="M300" s="9">
        <f>IF($A300="","",IF(LEFT($B300,5)="LEAPS",$D300,$C300)*100*$E300)</f>
      </c>
      <c r="N300" s="10">
        <f>IF(OR($A300="",ISNUMBER(MATCH(LOWER($H300),{"open",""},0))),"",IF(LEFT($B300,5)="LEAPS",-1,1)*($D300-IF(ISNUMBER(MATCH(LOWER($H300),{"closed"},0)),$J300,0))*100*$E300-$K300-$L300)</f>
      </c>
      <c r="O300" s="11">
        <f>IF(OR($A300="",$F300=""),"",MAX(1,IF(ISNUMBER(MATCH(LOWER($H300),{"open",""},0)),MIN(TODAY(),$G300),IF($I300="",$G300,$I300))-$F300))</f>
      </c>
      <c r="P300" s="12">
        <f>IF(OR($N300="",$M300="",$M300=0),"",$N300/$M300)</f>
      </c>
      <c r="Q300" s="12">
        <f>IF(OR($P300="",$O300=""),"",$P300*365/$O300)</f>
      </c>
      <c r="R300">
        <f>IF($N300="",0,$M300*$O300)</f>
      </c>
      <c r="S300">
        <f>IF(OR($A300="",LEFT($B300,5)="LEAPS"),0,$D300*100*$E300)</f>
      </c>
    </row>
    <row r="301" spans="1:19" x14ac:dyDescent="0.25">
      <c r="A301" s="13"/>
      <c r="B301" s="14"/>
      <c r="C301" s="15"/>
      <c r="D301" s="15"/>
      <c r="E301" s="16"/>
      <c r="F301" s="17"/>
      <c r="G301" s="17"/>
      <c r="H301" s="14"/>
      <c r="I301" s="17"/>
      <c r="J301" s="15"/>
      <c r="K301" s="15"/>
      <c r="L301" s="15"/>
      <c r="M301" s="9">
        <f>IF($A301="","",IF(LEFT($B301,5)="LEAPS",$D301,$C301)*100*$E301)</f>
      </c>
      <c r="N301" s="10">
        <f>IF(OR($A301="",ISNUMBER(MATCH(LOWER($H301),{"open",""},0))),"",IF(LEFT($B301,5)="LEAPS",-1,1)*($D301-IF(ISNUMBER(MATCH(LOWER($H301),{"closed"},0)),$J301,0))*100*$E301-$K301-$L301)</f>
      </c>
      <c r="O301" s="11">
        <f>IF(OR($A301="",$F301=""),"",MAX(1,IF(ISNUMBER(MATCH(LOWER($H301),{"open",""},0)),MIN(TODAY(),$G301),IF($I301="",$G301,$I301))-$F301))</f>
      </c>
      <c r="P301" s="12">
        <f>IF(OR($N301="",$M301="",$M301=0),"",$N301/$M301)</f>
      </c>
      <c r="Q301" s="12">
        <f>IF(OR($P301="",$O301=""),"",$P301*365/$O301)</f>
      </c>
      <c r="R301">
        <f>IF($N301="",0,$M301*$O301)</f>
      </c>
      <c r="S301">
        <f>IF(OR($A301="",LEFT($B301,5)="LEAPS"),0,$D301*100*$E301)</f>
      </c>
    </row>
    <row r="302" spans="1:19" x14ac:dyDescent="0.25">
      <c r="A302" s="13"/>
      <c r="B302" s="14"/>
      <c r="C302" s="15"/>
      <c r="D302" s="15"/>
      <c r="E302" s="16"/>
      <c r="F302" s="17"/>
      <c r="G302" s="17"/>
      <c r="H302" s="14"/>
      <c r="I302" s="17"/>
      <c r="J302" s="15"/>
      <c r="K302" s="15"/>
      <c r="L302" s="15"/>
      <c r="M302" s="9">
        <f>IF($A302="","",IF(LEFT($B302,5)="LEAPS",$D302,$C302)*100*$E302)</f>
      </c>
      <c r="N302" s="10">
        <f>IF(OR($A302="",ISNUMBER(MATCH(LOWER($H302),{"open",""},0))),"",IF(LEFT($B302,5)="LEAPS",-1,1)*($D302-IF(ISNUMBER(MATCH(LOWER($H302),{"closed"},0)),$J302,0))*100*$E302-$K302-$L302)</f>
      </c>
      <c r="O302" s="11">
        <f>IF(OR($A302="",$F302=""),"",MAX(1,IF(ISNUMBER(MATCH(LOWER($H302),{"open",""},0)),MIN(TODAY(),$G302),IF($I302="",$G302,$I302))-$F302))</f>
      </c>
      <c r="P302" s="12">
        <f>IF(OR($N302="",$M302="",$M302=0),"",$N302/$M302)</f>
      </c>
      <c r="Q302" s="12">
        <f>IF(OR($P302="",$O302=""),"",$P302*365/$O302)</f>
      </c>
      <c r="R302">
        <f>IF($N302="",0,$M302*$O302)</f>
      </c>
      <c r="S302">
        <f>IF(OR($A302="",LEFT($B302,5)="LEAPS"),0,$D302*100*$E302)</f>
      </c>
    </row>
    <row r="303" spans="1:19" x14ac:dyDescent="0.25">
      <c r="A303" s="13"/>
      <c r="B303" s="14"/>
      <c r="C303" s="15"/>
      <c r="D303" s="15"/>
      <c r="E303" s="16"/>
      <c r="F303" s="17"/>
      <c r="G303" s="17"/>
      <c r="H303" s="14"/>
      <c r="I303" s="17"/>
      <c r="J303" s="15"/>
      <c r="K303" s="15"/>
      <c r="L303" s="15"/>
      <c r="M303" s="9">
        <f>IF($A303="","",IF(LEFT($B303,5)="LEAPS",$D303,$C303)*100*$E303)</f>
      </c>
      <c r="N303" s="10">
        <f>IF(OR($A303="",ISNUMBER(MATCH(LOWER($H303),{"open",""},0))),"",IF(LEFT($B303,5)="LEAPS",-1,1)*($D303-IF(ISNUMBER(MATCH(LOWER($H303),{"closed"},0)),$J303,0))*100*$E303-$K303-$L303)</f>
      </c>
      <c r="O303" s="11">
        <f>IF(OR($A303="",$F303=""),"",MAX(1,IF(ISNUMBER(MATCH(LOWER($H303),{"open",""},0)),MIN(TODAY(),$G303),IF($I303="",$G303,$I303))-$F303))</f>
      </c>
      <c r="P303" s="12">
        <f>IF(OR($N303="",$M303="",$M303=0),"",$N303/$M303)</f>
      </c>
      <c r="Q303" s="12">
        <f>IF(OR($P303="",$O303=""),"",$P303*365/$O303)</f>
      </c>
      <c r="R303">
        <f>IF($N303="",0,$M303*$O303)</f>
      </c>
      <c r="S303">
        <f>IF(OR($A303="",LEFT($B303,5)="LEAPS"),0,$D303*100*$E303)</f>
      </c>
    </row>
    <row r="304" spans="1:19" x14ac:dyDescent="0.25">
      <c r="A304" s="13"/>
      <c r="B304" s="14"/>
      <c r="C304" s="15"/>
      <c r="D304" s="15"/>
      <c r="E304" s="16"/>
      <c r="F304" s="17"/>
      <c r="G304" s="17"/>
      <c r="H304" s="14"/>
      <c r="I304" s="17"/>
      <c r="J304" s="15"/>
      <c r="K304" s="15"/>
      <c r="L304" s="15"/>
      <c r="M304" s="9">
        <f>IF($A304="","",IF(LEFT($B304,5)="LEAPS",$D304,$C304)*100*$E304)</f>
      </c>
      <c r="N304" s="10">
        <f>IF(OR($A304="",ISNUMBER(MATCH(LOWER($H304),{"open",""},0))),"",IF(LEFT($B304,5)="LEAPS",-1,1)*($D304-IF(ISNUMBER(MATCH(LOWER($H304),{"closed"},0)),$J304,0))*100*$E304-$K304-$L304)</f>
      </c>
      <c r="O304" s="11">
        <f>IF(OR($A304="",$F304=""),"",MAX(1,IF(ISNUMBER(MATCH(LOWER($H304),{"open",""},0)),MIN(TODAY(),$G304),IF($I304="",$G304,$I304))-$F304))</f>
      </c>
      <c r="P304" s="12">
        <f>IF(OR($N304="",$M304="",$M304=0),"",$N304/$M304)</f>
      </c>
      <c r="Q304" s="12">
        <f>IF(OR($P304="",$O304=""),"",$P304*365/$O304)</f>
      </c>
      <c r="R304">
        <f>IF($N304="",0,$M304*$O304)</f>
      </c>
      <c r="S304">
        <f>IF(OR($A304="",LEFT($B304,5)="LEAPS"),0,$D304*100*$E304)</f>
      </c>
    </row>
    <row r="305" spans="1:19" x14ac:dyDescent="0.25">
      <c r="A305" s="13"/>
      <c r="B305" s="14"/>
      <c r="C305" s="15"/>
      <c r="D305" s="15"/>
      <c r="E305" s="16"/>
      <c r="F305" s="17"/>
      <c r="G305" s="17"/>
      <c r="H305" s="14"/>
      <c r="I305" s="17"/>
      <c r="J305" s="15"/>
      <c r="K305" s="15"/>
      <c r="L305" s="15"/>
      <c r="M305" s="9">
        <f>IF($A305="","",IF(LEFT($B305,5)="LEAPS",$D305,$C305)*100*$E305)</f>
      </c>
      <c r="N305" s="10">
        <f>IF(OR($A305="",ISNUMBER(MATCH(LOWER($H305),{"open",""},0))),"",IF(LEFT($B305,5)="LEAPS",-1,1)*($D305-IF(ISNUMBER(MATCH(LOWER($H305),{"closed"},0)),$J305,0))*100*$E305-$K305-$L305)</f>
      </c>
      <c r="O305" s="11">
        <f>IF(OR($A305="",$F305=""),"",MAX(1,IF(ISNUMBER(MATCH(LOWER($H305),{"open",""},0)),MIN(TODAY(),$G305),IF($I305="",$G305,$I305))-$F305))</f>
      </c>
      <c r="P305" s="12">
        <f>IF(OR($N305="",$M305="",$M305=0),"",$N305/$M305)</f>
      </c>
      <c r="Q305" s="12">
        <f>IF(OR($P305="",$O305=""),"",$P305*365/$O305)</f>
      </c>
      <c r="R305">
        <f>IF($N305="",0,$M305*$O305)</f>
      </c>
      <c r="S305">
        <f>IF(OR($A305="",LEFT($B305,5)="LEAPS"),0,$D305*100*$E305)</f>
      </c>
    </row>
    <row r="306" spans="1:19" x14ac:dyDescent="0.25">
      <c r="A306" s="13"/>
      <c r="B306" s="14"/>
      <c r="C306" s="15"/>
      <c r="D306" s="15"/>
      <c r="E306" s="16"/>
      <c r="F306" s="17"/>
      <c r="G306" s="17"/>
      <c r="H306" s="14"/>
      <c r="I306" s="17"/>
      <c r="J306" s="15"/>
      <c r="K306" s="15"/>
      <c r="L306" s="15"/>
      <c r="M306" s="9">
        <f>IF($A306="","",IF(LEFT($B306,5)="LEAPS",$D306,$C306)*100*$E306)</f>
      </c>
      <c r="N306" s="10">
        <f>IF(OR($A306="",ISNUMBER(MATCH(LOWER($H306),{"open",""},0))),"",IF(LEFT($B306,5)="LEAPS",-1,1)*($D306-IF(ISNUMBER(MATCH(LOWER($H306),{"closed"},0)),$J306,0))*100*$E306-$K306-$L306)</f>
      </c>
      <c r="O306" s="11">
        <f>IF(OR($A306="",$F306=""),"",MAX(1,IF(ISNUMBER(MATCH(LOWER($H306),{"open",""},0)),MIN(TODAY(),$G306),IF($I306="",$G306,$I306))-$F306))</f>
      </c>
      <c r="P306" s="12">
        <f>IF(OR($N306="",$M306="",$M306=0),"",$N306/$M306)</f>
      </c>
      <c r="Q306" s="12">
        <f>IF(OR($P306="",$O306=""),"",$P306*365/$O306)</f>
      </c>
      <c r="R306">
        <f>IF($N306="",0,$M306*$O306)</f>
      </c>
      <c r="S306">
        <f>IF(OR($A306="",LEFT($B306,5)="LEAPS"),0,$D306*100*$E306)</f>
      </c>
    </row>
    <row r="307" spans="1:19" x14ac:dyDescent="0.25">
      <c r="A307" s="13"/>
      <c r="B307" s="14"/>
      <c r="C307" s="15"/>
      <c r="D307" s="15"/>
      <c r="E307" s="16"/>
      <c r="F307" s="17"/>
      <c r="G307" s="17"/>
      <c r="H307" s="14"/>
      <c r="I307" s="17"/>
      <c r="J307" s="15"/>
      <c r="K307" s="15"/>
      <c r="L307" s="15"/>
      <c r="M307" s="9">
        <f>IF($A307="","",IF(LEFT($B307,5)="LEAPS",$D307,$C307)*100*$E307)</f>
      </c>
      <c r="N307" s="10">
        <f>IF(OR($A307="",ISNUMBER(MATCH(LOWER($H307),{"open",""},0))),"",IF(LEFT($B307,5)="LEAPS",-1,1)*($D307-IF(ISNUMBER(MATCH(LOWER($H307),{"closed"},0)),$J307,0))*100*$E307-$K307-$L307)</f>
      </c>
      <c r="O307" s="11">
        <f>IF(OR($A307="",$F307=""),"",MAX(1,IF(ISNUMBER(MATCH(LOWER($H307),{"open",""},0)),MIN(TODAY(),$G307),IF($I307="",$G307,$I307))-$F307))</f>
      </c>
      <c r="P307" s="12">
        <f>IF(OR($N307="",$M307="",$M307=0),"",$N307/$M307)</f>
      </c>
      <c r="Q307" s="12">
        <f>IF(OR($P307="",$O307=""),"",$P307*365/$O307)</f>
      </c>
      <c r="R307">
        <f>IF($N307="",0,$M307*$O307)</f>
      </c>
      <c r="S307">
        <f>IF(OR($A307="",LEFT($B307,5)="LEAPS"),0,$D307*100*$E307)</f>
      </c>
    </row>
    <row r="308" spans="1:19" x14ac:dyDescent="0.25">
      <c r="A308" s="13"/>
      <c r="B308" s="14"/>
      <c r="C308" s="15"/>
      <c r="D308" s="15"/>
      <c r="E308" s="16"/>
      <c r="F308" s="17"/>
      <c r="G308" s="17"/>
      <c r="H308" s="14"/>
      <c r="I308" s="17"/>
      <c r="J308" s="15"/>
      <c r="K308" s="15"/>
      <c r="L308" s="15"/>
      <c r="M308" s="9">
        <f>IF($A308="","",IF(LEFT($B308,5)="LEAPS",$D308,$C308)*100*$E308)</f>
      </c>
      <c r="N308" s="10">
        <f>IF(OR($A308="",ISNUMBER(MATCH(LOWER($H308),{"open",""},0))),"",IF(LEFT($B308,5)="LEAPS",-1,1)*($D308-IF(ISNUMBER(MATCH(LOWER($H308),{"closed"},0)),$J308,0))*100*$E308-$K308-$L308)</f>
      </c>
      <c r="O308" s="11">
        <f>IF(OR($A308="",$F308=""),"",MAX(1,IF(ISNUMBER(MATCH(LOWER($H308),{"open",""},0)),MIN(TODAY(),$G308),IF($I308="",$G308,$I308))-$F308))</f>
      </c>
      <c r="P308" s="12">
        <f>IF(OR($N308="",$M308="",$M308=0),"",$N308/$M308)</f>
      </c>
      <c r="Q308" s="12">
        <f>IF(OR($P308="",$O308=""),"",$P308*365/$O308)</f>
      </c>
      <c r="R308">
        <f>IF($N308="",0,$M308*$O308)</f>
      </c>
      <c r="S308">
        <f>IF(OR($A308="",LEFT($B308,5)="LEAPS"),0,$D308*100*$E308)</f>
      </c>
    </row>
    <row r="309" spans="1:19" x14ac:dyDescent="0.25">
      <c r="A309" s="13"/>
      <c r="B309" s="14"/>
      <c r="C309" s="15"/>
      <c r="D309" s="15"/>
      <c r="E309" s="16"/>
      <c r="F309" s="17"/>
      <c r="G309" s="17"/>
      <c r="H309" s="14"/>
      <c r="I309" s="17"/>
      <c r="J309" s="15"/>
      <c r="K309" s="15"/>
      <c r="L309" s="15"/>
      <c r="M309" s="9">
        <f>IF($A309="","",IF(LEFT($B309,5)="LEAPS",$D309,$C309)*100*$E309)</f>
      </c>
      <c r="N309" s="10">
        <f>IF(OR($A309="",ISNUMBER(MATCH(LOWER($H309),{"open",""},0))),"",IF(LEFT($B309,5)="LEAPS",-1,1)*($D309-IF(ISNUMBER(MATCH(LOWER($H309),{"closed"},0)),$J309,0))*100*$E309-$K309-$L309)</f>
      </c>
      <c r="O309" s="11">
        <f>IF(OR($A309="",$F309=""),"",MAX(1,IF(ISNUMBER(MATCH(LOWER($H309),{"open",""},0)),MIN(TODAY(),$G309),IF($I309="",$G309,$I309))-$F309))</f>
      </c>
      <c r="P309" s="12">
        <f>IF(OR($N309="",$M309="",$M309=0),"",$N309/$M309)</f>
      </c>
      <c r="Q309" s="12">
        <f>IF(OR($P309="",$O309=""),"",$P309*365/$O309)</f>
      </c>
      <c r="R309">
        <f>IF($N309="",0,$M309*$O309)</f>
      </c>
      <c r="S309">
        <f>IF(OR($A309="",LEFT($B309,5)="LEAPS"),0,$D309*100*$E309)</f>
      </c>
    </row>
    <row r="310" spans="1:19" x14ac:dyDescent="0.25">
      <c r="A310" s="13"/>
      <c r="B310" s="14"/>
      <c r="C310" s="15"/>
      <c r="D310" s="15"/>
      <c r="E310" s="16"/>
      <c r="F310" s="17"/>
      <c r="G310" s="17"/>
      <c r="H310" s="14"/>
      <c r="I310" s="17"/>
      <c r="J310" s="15"/>
      <c r="K310" s="15"/>
      <c r="L310" s="15"/>
      <c r="M310" s="9">
        <f>IF($A310="","",IF(LEFT($B310,5)="LEAPS",$D310,$C310)*100*$E310)</f>
      </c>
      <c r="N310" s="10">
        <f>IF(OR($A310="",ISNUMBER(MATCH(LOWER($H310),{"open",""},0))),"",IF(LEFT($B310,5)="LEAPS",-1,1)*($D310-IF(ISNUMBER(MATCH(LOWER($H310),{"closed"},0)),$J310,0))*100*$E310-$K310-$L310)</f>
      </c>
      <c r="O310" s="11">
        <f>IF(OR($A310="",$F310=""),"",MAX(1,IF(ISNUMBER(MATCH(LOWER($H310),{"open",""},0)),MIN(TODAY(),$G310),IF($I310="",$G310,$I310))-$F310))</f>
      </c>
      <c r="P310" s="12">
        <f>IF(OR($N310="",$M310="",$M310=0),"",$N310/$M310)</f>
      </c>
      <c r="Q310" s="12">
        <f>IF(OR($P310="",$O310=""),"",$P310*365/$O310)</f>
      </c>
      <c r="R310">
        <f>IF($N310="",0,$M310*$O310)</f>
      </c>
      <c r="S310">
        <f>IF(OR($A310="",LEFT($B310,5)="LEAPS"),0,$D310*100*$E310)</f>
      </c>
    </row>
    <row r="311" spans="1:19" x14ac:dyDescent="0.25">
      <c r="A311" s="13"/>
      <c r="B311" s="14"/>
      <c r="C311" s="15"/>
      <c r="D311" s="15"/>
      <c r="E311" s="16"/>
      <c r="F311" s="17"/>
      <c r="G311" s="17"/>
      <c r="H311" s="14"/>
      <c r="I311" s="17"/>
      <c r="J311" s="15"/>
      <c r="K311" s="15"/>
      <c r="L311" s="15"/>
      <c r="M311" s="9">
        <f>IF($A311="","",IF(LEFT($B311,5)="LEAPS",$D311,$C311)*100*$E311)</f>
      </c>
      <c r="N311" s="10">
        <f>IF(OR($A311="",ISNUMBER(MATCH(LOWER($H311),{"open",""},0))),"",IF(LEFT($B311,5)="LEAPS",-1,1)*($D311-IF(ISNUMBER(MATCH(LOWER($H311),{"closed"},0)),$J311,0))*100*$E311-$K311-$L311)</f>
      </c>
      <c r="O311" s="11">
        <f>IF(OR($A311="",$F311=""),"",MAX(1,IF(ISNUMBER(MATCH(LOWER($H311),{"open",""},0)),MIN(TODAY(),$G311),IF($I311="",$G311,$I311))-$F311))</f>
      </c>
      <c r="P311" s="12">
        <f>IF(OR($N311="",$M311="",$M311=0),"",$N311/$M311)</f>
      </c>
      <c r="Q311" s="12">
        <f>IF(OR($P311="",$O311=""),"",$P311*365/$O311)</f>
      </c>
      <c r="R311">
        <f>IF($N311="",0,$M311*$O311)</f>
      </c>
      <c r="S311">
        <f>IF(OR($A311="",LEFT($B311,5)="LEAPS"),0,$D311*100*$E311)</f>
      </c>
    </row>
    <row r="312" spans="1:19" x14ac:dyDescent="0.25">
      <c r="A312" s="13"/>
      <c r="B312" s="14"/>
      <c r="C312" s="15"/>
      <c r="D312" s="15"/>
      <c r="E312" s="16"/>
      <c r="F312" s="17"/>
      <c r="G312" s="17"/>
      <c r="H312" s="14"/>
      <c r="I312" s="17"/>
      <c r="J312" s="15"/>
      <c r="K312" s="15"/>
      <c r="L312" s="15"/>
      <c r="M312" s="9">
        <f>IF($A312="","",IF(LEFT($B312,5)="LEAPS",$D312,$C312)*100*$E312)</f>
      </c>
      <c r="N312" s="10">
        <f>IF(OR($A312="",ISNUMBER(MATCH(LOWER($H312),{"open",""},0))),"",IF(LEFT($B312,5)="LEAPS",-1,1)*($D312-IF(ISNUMBER(MATCH(LOWER($H312),{"closed"},0)),$J312,0))*100*$E312-$K312-$L312)</f>
      </c>
      <c r="O312" s="11">
        <f>IF(OR($A312="",$F312=""),"",MAX(1,IF(ISNUMBER(MATCH(LOWER($H312),{"open",""},0)),MIN(TODAY(),$G312),IF($I312="",$G312,$I312))-$F312))</f>
      </c>
      <c r="P312" s="12">
        <f>IF(OR($N312="",$M312="",$M312=0),"",$N312/$M312)</f>
      </c>
      <c r="Q312" s="12">
        <f>IF(OR($P312="",$O312=""),"",$P312*365/$O312)</f>
      </c>
      <c r="R312">
        <f>IF($N312="",0,$M312*$O312)</f>
      </c>
      <c r="S312">
        <f>IF(OR($A312="",LEFT($B312,5)="LEAPS"),0,$D312*100*$E312)</f>
      </c>
    </row>
    <row r="313" spans="1:19" x14ac:dyDescent="0.25">
      <c r="A313" s="13"/>
      <c r="B313" s="14"/>
      <c r="C313" s="15"/>
      <c r="D313" s="15"/>
      <c r="E313" s="16"/>
      <c r="F313" s="17"/>
      <c r="G313" s="17"/>
      <c r="H313" s="14"/>
      <c r="I313" s="17"/>
      <c r="J313" s="15"/>
      <c r="K313" s="15"/>
      <c r="L313" s="15"/>
      <c r="M313" s="9">
        <f>IF($A313="","",IF(LEFT($B313,5)="LEAPS",$D313,$C313)*100*$E313)</f>
      </c>
      <c r="N313" s="10">
        <f>IF(OR($A313="",ISNUMBER(MATCH(LOWER($H313),{"open",""},0))),"",IF(LEFT($B313,5)="LEAPS",-1,1)*($D313-IF(ISNUMBER(MATCH(LOWER($H313),{"closed"},0)),$J313,0))*100*$E313-$K313-$L313)</f>
      </c>
      <c r="O313" s="11">
        <f>IF(OR($A313="",$F313=""),"",MAX(1,IF(ISNUMBER(MATCH(LOWER($H313),{"open",""},0)),MIN(TODAY(),$G313),IF($I313="",$G313,$I313))-$F313))</f>
      </c>
      <c r="P313" s="12">
        <f>IF(OR($N313="",$M313="",$M313=0),"",$N313/$M313)</f>
      </c>
      <c r="Q313" s="12">
        <f>IF(OR($P313="",$O313=""),"",$P313*365/$O313)</f>
      </c>
      <c r="R313">
        <f>IF($N313="",0,$M313*$O313)</f>
      </c>
      <c r="S313">
        <f>IF(OR($A313="",LEFT($B313,5)="LEAPS"),0,$D313*100*$E313)</f>
      </c>
    </row>
    <row r="314" spans="1:19" x14ac:dyDescent="0.25">
      <c r="A314" s="13"/>
      <c r="B314" s="14"/>
      <c r="C314" s="15"/>
      <c r="D314" s="15"/>
      <c r="E314" s="16"/>
      <c r="F314" s="17"/>
      <c r="G314" s="17"/>
      <c r="H314" s="14"/>
      <c r="I314" s="17"/>
      <c r="J314" s="15"/>
      <c r="K314" s="15"/>
      <c r="L314" s="15"/>
      <c r="M314" s="9">
        <f>IF($A314="","",IF(LEFT($B314,5)="LEAPS",$D314,$C314)*100*$E314)</f>
      </c>
      <c r="N314" s="10">
        <f>IF(OR($A314="",ISNUMBER(MATCH(LOWER($H314),{"open",""},0))),"",IF(LEFT($B314,5)="LEAPS",-1,1)*($D314-IF(ISNUMBER(MATCH(LOWER($H314),{"closed"},0)),$J314,0))*100*$E314-$K314-$L314)</f>
      </c>
      <c r="O314" s="11">
        <f>IF(OR($A314="",$F314=""),"",MAX(1,IF(ISNUMBER(MATCH(LOWER($H314),{"open",""},0)),MIN(TODAY(),$G314),IF($I314="",$G314,$I314))-$F314))</f>
      </c>
      <c r="P314" s="12">
        <f>IF(OR($N314="",$M314="",$M314=0),"",$N314/$M314)</f>
      </c>
      <c r="Q314" s="12">
        <f>IF(OR($P314="",$O314=""),"",$P314*365/$O314)</f>
      </c>
      <c r="R314">
        <f>IF($N314="",0,$M314*$O314)</f>
      </c>
      <c r="S314">
        <f>IF(OR($A314="",LEFT($B314,5)="LEAPS"),0,$D314*100*$E314)</f>
      </c>
    </row>
    <row r="315" spans="1:19" x14ac:dyDescent="0.25">
      <c r="A315" s="13"/>
      <c r="B315" s="14"/>
      <c r="C315" s="15"/>
      <c r="D315" s="15"/>
      <c r="E315" s="16"/>
      <c r="F315" s="17"/>
      <c r="G315" s="17"/>
      <c r="H315" s="14"/>
      <c r="I315" s="17"/>
      <c r="J315" s="15"/>
      <c r="K315" s="15"/>
      <c r="L315" s="15"/>
      <c r="M315" s="9">
        <f>IF($A315="","",IF(LEFT($B315,5)="LEAPS",$D315,$C315)*100*$E315)</f>
      </c>
      <c r="N315" s="10">
        <f>IF(OR($A315="",ISNUMBER(MATCH(LOWER($H315),{"open",""},0))),"",IF(LEFT($B315,5)="LEAPS",-1,1)*($D315-IF(ISNUMBER(MATCH(LOWER($H315),{"closed"},0)),$J315,0))*100*$E315-$K315-$L315)</f>
      </c>
      <c r="O315" s="11">
        <f>IF(OR($A315="",$F315=""),"",MAX(1,IF(ISNUMBER(MATCH(LOWER($H315),{"open",""},0)),MIN(TODAY(),$G315),IF($I315="",$G315,$I315))-$F315))</f>
      </c>
      <c r="P315" s="12">
        <f>IF(OR($N315="",$M315="",$M315=0),"",$N315/$M315)</f>
      </c>
      <c r="Q315" s="12">
        <f>IF(OR($P315="",$O315=""),"",$P315*365/$O315)</f>
      </c>
      <c r="R315">
        <f>IF($N315="",0,$M315*$O315)</f>
      </c>
      <c r="S315">
        <f>IF(OR($A315="",LEFT($B315,5)="LEAPS"),0,$D315*100*$E315)</f>
      </c>
    </row>
    <row r="316" spans="1:19" x14ac:dyDescent="0.25">
      <c r="A316" s="13"/>
      <c r="B316" s="14"/>
      <c r="C316" s="15"/>
      <c r="D316" s="15"/>
      <c r="E316" s="16"/>
      <c r="F316" s="17"/>
      <c r="G316" s="17"/>
      <c r="H316" s="14"/>
      <c r="I316" s="17"/>
      <c r="J316" s="15"/>
      <c r="K316" s="15"/>
      <c r="L316" s="15"/>
      <c r="M316" s="9">
        <f>IF($A316="","",IF(LEFT($B316,5)="LEAPS",$D316,$C316)*100*$E316)</f>
      </c>
      <c r="N316" s="10">
        <f>IF(OR($A316="",ISNUMBER(MATCH(LOWER($H316),{"open",""},0))),"",IF(LEFT($B316,5)="LEAPS",-1,1)*($D316-IF(ISNUMBER(MATCH(LOWER($H316),{"closed"},0)),$J316,0))*100*$E316-$K316-$L316)</f>
      </c>
      <c r="O316" s="11">
        <f>IF(OR($A316="",$F316=""),"",MAX(1,IF(ISNUMBER(MATCH(LOWER($H316),{"open",""},0)),MIN(TODAY(),$G316),IF($I316="",$G316,$I316))-$F316))</f>
      </c>
      <c r="P316" s="12">
        <f>IF(OR($N316="",$M316="",$M316=0),"",$N316/$M316)</f>
      </c>
      <c r="Q316" s="12">
        <f>IF(OR($P316="",$O316=""),"",$P316*365/$O316)</f>
      </c>
      <c r="R316">
        <f>IF($N316="",0,$M316*$O316)</f>
      </c>
      <c r="S316">
        <f>IF(OR($A316="",LEFT($B316,5)="LEAPS"),0,$D316*100*$E316)</f>
      </c>
    </row>
    <row r="317" spans="1:19" x14ac:dyDescent="0.25">
      <c r="A317" s="13"/>
      <c r="B317" s="14"/>
      <c r="C317" s="15"/>
      <c r="D317" s="15"/>
      <c r="E317" s="16"/>
      <c r="F317" s="17"/>
      <c r="G317" s="17"/>
      <c r="H317" s="14"/>
      <c r="I317" s="17"/>
      <c r="J317" s="15"/>
      <c r="K317" s="15"/>
      <c r="L317" s="15"/>
      <c r="M317" s="9">
        <f>IF($A317="","",IF(LEFT($B317,5)="LEAPS",$D317,$C317)*100*$E317)</f>
      </c>
      <c r="N317" s="10">
        <f>IF(OR($A317="",ISNUMBER(MATCH(LOWER($H317),{"open",""},0))),"",IF(LEFT($B317,5)="LEAPS",-1,1)*($D317-IF(ISNUMBER(MATCH(LOWER($H317),{"closed"},0)),$J317,0))*100*$E317-$K317-$L317)</f>
      </c>
      <c r="O317" s="11">
        <f>IF(OR($A317="",$F317=""),"",MAX(1,IF(ISNUMBER(MATCH(LOWER($H317),{"open",""},0)),MIN(TODAY(),$G317),IF($I317="",$G317,$I317))-$F317))</f>
      </c>
      <c r="P317" s="12">
        <f>IF(OR($N317="",$M317="",$M317=0),"",$N317/$M317)</f>
      </c>
      <c r="Q317" s="12">
        <f>IF(OR($P317="",$O317=""),"",$P317*365/$O317)</f>
      </c>
      <c r="R317">
        <f>IF($N317="",0,$M317*$O317)</f>
      </c>
      <c r="S317">
        <f>IF(OR($A317="",LEFT($B317,5)="LEAPS"),0,$D317*100*$E317)</f>
      </c>
    </row>
    <row r="318" spans="1:19" x14ac:dyDescent="0.25">
      <c r="A318" s="13"/>
      <c r="B318" s="14"/>
      <c r="C318" s="15"/>
      <c r="D318" s="15"/>
      <c r="E318" s="16"/>
      <c r="F318" s="17"/>
      <c r="G318" s="17"/>
      <c r="H318" s="14"/>
      <c r="I318" s="17"/>
      <c r="J318" s="15"/>
      <c r="K318" s="15"/>
      <c r="L318" s="15"/>
      <c r="M318" s="9">
        <f>IF($A318="","",IF(LEFT($B318,5)="LEAPS",$D318,$C318)*100*$E318)</f>
      </c>
      <c r="N318" s="10">
        <f>IF(OR($A318="",ISNUMBER(MATCH(LOWER($H318),{"open",""},0))),"",IF(LEFT($B318,5)="LEAPS",-1,1)*($D318-IF(ISNUMBER(MATCH(LOWER($H318),{"closed"},0)),$J318,0))*100*$E318-$K318-$L318)</f>
      </c>
      <c r="O318" s="11">
        <f>IF(OR($A318="",$F318=""),"",MAX(1,IF(ISNUMBER(MATCH(LOWER($H318),{"open",""},0)),MIN(TODAY(),$G318),IF($I318="",$G318,$I318))-$F318))</f>
      </c>
      <c r="P318" s="12">
        <f>IF(OR($N318="",$M318="",$M318=0),"",$N318/$M318)</f>
      </c>
      <c r="Q318" s="12">
        <f>IF(OR($P318="",$O318=""),"",$P318*365/$O318)</f>
      </c>
      <c r="R318">
        <f>IF($N318="",0,$M318*$O318)</f>
      </c>
      <c r="S318">
        <f>IF(OR($A318="",LEFT($B318,5)="LEAPS"),0,$D318*100*$E318)</f>
      </c>
    </row>
    <row r="319" spans="1:19" x14ac:dyDescent="0.25">
      <c r="A319" s="13"/>
      <c r="B319" s="14"/>
      <c r="C319" s="15"/>
      <c r="D319" s="15"/>
      <c r="E319" s="16"/>
      <c r="F319" s="17"/>
      <c r="G319" s="17"/>
      <c r="H319" s="14"/>
      <c r="I319" s="17"/>
      <c r="J319" s="15"/>
      <c r="K319" s="15"/>
      <c r="L319" s="15"/>
      <c r="M319" s="9">
        <f>IF($A319="","",IF(LEFT($B319,5)="LEAPS",$D319,$C319)*100*$E319)</f>
      </c>
      <c r="N319" s="10">
        <f>IF(OR($A319="",ISNUMBER(MATCH(LOWER($H319),{"open",""},0))),"",IF(LEFT($B319,5)="LEAPS",-1,1)*($D319-IF(ISNUMBER(MATCH(LOWER($H319),{"closed"},0)),$J319,0))*100*$E319-$K319-$L319)</f>
      </c>
      <c r="O319" s="11">
        <f>IF(OR($A319="",$F319=""),"",MAX(1,IF(ISNUMBER(MATCH(LOWER($H319),{"open",""},0)),MIN(TODAY(),$G319),IF($I319="",$G319,$I319))-$F319))</f>
      </c>
      <c r="P319" s="12">
        <f>IF(OR($N319="",$M319="",$M319=0),"",$N319/$M319)</f>
      </c>
      <c r="Q319" s="12">
        <f>IF(OR($P319="",$O319=""),"",$P319*365/$O319)</f>
      </c>
      <c r="R319">
        <f>IF($N319="",0,$M319*$O319)</f>
      </c>
      <c r="S319">
        <f>IF(OR($A319="",LEFT($B319,5)="LEAPS"),0,$D319*100*$E319)</f>
      </c>
    </row>
    <row r="320" spans="1:19" x14ac:dyDescent="0.25">
      <c r="A320" s="13"/>
      <c r="B320" s="14"/>
      <c r="C320" s="15"/>
      <c r="D320" s="15"/>
      <c r="E320" s="16"/>
      <c r="F320" s="17"/>
      <c r="G320" s="17"/>
      <c r="H320" s="14"/>
      <c r="I320" s="17"/>
      <c r="J320" s="15"/>
      <c r="K320" s="15"/>
      <c r="L320" s="15"/>
      <c r="M320" s="9">
        <f>IF($A320="","",IF(LEFT($B320,5)="LEAPS",$D320,$C320)*100*$E320)</f>
      </c>
      <c r="N320" s="10">
        <f>IF(OR($A320="",ISNUMBER(MATCH(LOWER($H320),{"open",""},0))),"",IF(LEFT($B320,5)="LEAPS",-1,1)*($D320-IF(ISNUMBER(MATCH(LOWER($H320),{"closed"},0)),$J320,0))*100*$E320-$K320-$L320)</f>
      </c>
      <c r="O320" s="11">
        <f>IF(OR($A320="",$F320=""),"",MAX(1,IF(ISNUMBER(MATCH(LOWER($H320),{"open",""},0)),MIN(TODAY(),$G320),IF($I320="",$G320,$I320))-$F320))</f>
      </c>
      <c r="P320" s="12">
        <f>IF(OR($N320="",$M320="",$M320=0),"",$N320/$M320)</f>
      </c>
      <c r="Q320" s="12">
        <f>IF(OR($P320="",$O320=""),"",$P320*365/$O320)</f>
      </c>
      <c r="R320">
        <f>IF($N320="",0,$M320*$O320)</f>
      </c>
      <c r="S320">
        <f>IF(OR($A320="",LEFT($B320,5)="LEAPS"),0,$D320*100*$E320)</f>
      </c>
    </row>
    <row r="321" spans="1:19" x14ac:dyDescent="0.25">
      <c r="A321" s="13"/>
      <c r="B321" s="14"/>
      <c r="C321" s="15"/>
      <c r="D321" s="15"/>
      <c r="E321" s="16"/>
      <c r="F321" s="17"/>
      <c r="G321" s="17"/>
      <c r="H321" s="14"/>
      <c r="I321" s="17"/>
      <c r="J321" s="15"/>
      <c r="K321" s="15"/>
      <c r="L321" s="15"/>
      <c r="M321" s="9">
        <f>IF($A321="","",IF(LEFT($B321,5)="LEAPS",$D321,$C321)*100*$E321)</f>
      </c>
      <c r="N321" s="10">
        <f>IF(OR($A321="",ISNUMBER(MATCH(LOWER($H321),{"open",""},0))),"",IF(LEFT($B321,5)="LEAPS",-1,1)*($D321-IF(ISNUMBER(MATCH(LOWER($H321),{"closed"},0)),$J321,0))*100*$E321-$K321-$L321)</f>
      </c>
      <c r="O321" s="11">
        <f>IF(OR($A321="",$F321=""),"",MAX(1,IF(ISNUMBER(MATCH(LOWER($H321),{"open",""},0)),MIN(TODAY(),$G321),IF($I321="",$G321,$I321))-$F321))</f>
      </c>
      <c r="P321" s="12">
        <f>IF(OR($N321="",$M321="",$M321=0),"",$N321/$M321)</f>
      </c>
      <c r="Q321" s="12">
        <f>IF(OR($P321="",$O321=""),"",$P321*365/$O321)</f>
      </c>
      <c r="R321">
        <f>IF($N321="",0,$M321*$O321)</f>
      </c>
      <c r="S321">
        <f>IF(OR($A321="",LEFT($B321,5)="LEAPS"),0,$D321*100*$E321)</f>
      </c>
    </row>
    <row r="322" spans="1:19" x14ac:dyDescent="0.25">
      <c r="A322" s="13"/>
      <c r="B322" s="14"/>
      <c r="C322" s="15"/>
      <c r="D322" s="15"/>
      <c r="E322" s="16"/>
      <c r="F322" s="17"/>
      <c r="G322" s="17"/>
      <c r="H322" s="14"/>
      <c r="I322" s="17"/>
      <c r="J322" s="15"/>
      <c r="K322" s="15"/>
      <c r="L322" s="15"/>
      <c r="M322" s="9">
        <f>IF($A322="","",IF(LEFT($B322,5)="LEAPS",$D322,$C322)*100*$E322)</f>
      </c>
      <c r="N322" s="10">
        <f>IF(OR($A322="",ISNUMBER(MATCH(LOWER($H322),{"open",""},0))),"",IF(LEFT($B322,5)="LEAPS",-1,1)*($D322-IF(ISNUMBER(MATCH(LOWER($H322),{"closed"},0)),$J322,0))*100*$E322-$K322-$L322)</f>
      </c>
      <c r="O322" s="11">
        <f>IF(OR($A322="",$F322=""),"",MAX(1,IF(ISNUMBER(MATCH(LOWER($H322),{"open",""},0)),MIN(TODAY(),$G322),IF($I322="",$G322,$I322))-$F322))</f>
      </c>
      <c r="P322" s="12">
        <f>IF(OR($N322="",$M322="",$M322=0),"",$N322/$M322)</f>
      </c>
      <c r="Q322" s="12">
        <f>IF(OR($P322="",$O322=""),"",$P322*365/$O322)</f>
      </c>
      <c r="R322">
        <f>IF($N322="",0,$M322*$O322)</f>
      </c>
      <c r="S322">
        <f>IF(OR($A322="",LEFT($B322,5)="LEAPS"),0,$D322*100*$E322)</f>
      </c>
    </row>
    <row r="323" spans="1:19" x14ac:dyDescent="0.25">
      <c r="A323" s="13"/>
      <c r="B323" s="14"/>
      <c r="C323" s="15"/>
      <c r="D323" s="15"/>
      <c r="E323" s="16"/>
      <c r="F323" s="17"/>
      <c r="G323" s="17"/>
      <c r="H323" s="14"/>
      <c r="I323" s="17"/>
      <c r="J323" s="15"/>
      <c r="K323" s="15"/>
      <c r="L323" s="15"/>
      <c r="M323" s="9">
        <f>IF($A323="","",IF(LEFT($B323,5)="LEAPS",$D323,$C323)*100*$E323)</f>
      </c>
      <c r="N323" s="10">
        <f>IF(OR($A323="",ISNUMBER(MATCH(LOWER($H323),{"open",""},0))),"",IF(LEFT($B323,5)="LEAPS",-1,1)*($D323-IF(ISNUMBER(MATCH(LOWER($H323),{"closed"},0)),$J323,0))*100*$E323-$K323-$L323)</f>
      </c>
      <c r="O323" s="11">
        <f>IF(OR($A323="",$F323=""),"",MAX(1,IF(ISNUMBER(MATCH(LOWER($H323),{"open",""},0)),MIN(TODAY(),$G323),IF($I323="",$G323,$I323))-$F323))</f>
      </c>
      <c r="P323" s="12">
        <f>IF(OR($N323="",$M323="",$M323=0),"",$N323/$M323)</f>
      </c>
      <c r="Q323" s="12">
        <f>IF(OR($P323="",$O323=""),"",$P323*365/$O323)</f>
      </c>
      <c r="R323">
        <f>IF($N323="",0,$M323*$O323)</f>
      </c>
      <c r="S323">
        <f>IF(OR($A323="",LEFT($B323,5)="LEAPS"),0,$D323*100*$E323)</f>
      </c>
    </row>
    <row r="324" spans="1:19" x14ac:dyDescent="0.25">
      <c r="A324" s="13"/>
      <c r="B324" s="14"/>
      <c r="C324" s="15"/>
      <c r="D324" s="15"/>
      <c r="E324" s="16"/>
      <c r="F324" s="17"/>
      <c r="G324" s="17"/>
      <c r="H324" s="14"/>
      <c r="I324" s="17"/>
      <c r="J324" s="15"/>
      <c r="K324" s="15"/>
      <c r="L324" s="15"/>
      <c r="M324" s="9">
        <f>IF($A324="","",IF(LEFT($B324,5)="LEAPS",$D324,$C324)*100*$E324)</f>
      </c>
      <c r="N324" s="10">
        <f>IF(OR($A324="",ISNUMBER(MATCH(LOWER($H324),{"open",""},0))),"",IF(LEFT($B324,5)="LEAPS",-1,1)*($D324-IF(ISNUMBER(MATCH(LOWER($H324),{"closed"},0)),$J324,0))*100*$E324-$K324-$L324)</f>
      </c>
      <c r="O324" s="11">
        <f>IF(OR($A324="",$F324=""),"",MAX(1,IF(ISNUMBER(MATCH(LOWER($H324),{"open",""},0)),MIN(TODAY(),$G324),IF($I324="",$G324,$I324))-$F324))</f>
      </c>
      <c r="P324" s="12">
        <f>IF(OR($N324="",$M324="",$M324=0),"",$N324/$M324)</f>
      </c>
      <c r="Q324" s="12">
        <f>IF(OR($P324="",$O324=""),"",$P324*365/$O324)</f>
      </c>
      <c r="R324">
        <f>IF($N324="",0,$M324*$O324)</f>
      </c>
      <c r="S324">
        <f>IF(OR($A324="",LEFT($B324,5)="LEAPS"),0,$D324*100*$E324)</f>
      </c>
    </row>
    <row r="325" spans="1:19" x14ac:dyDescent="0.25">
      <c r="A325" s="13"/>
      <c r="B325" s="14"/>
      <c r="C325" s="15"/>
      <c r="D325" s="15"/>
      <c r="E325" s="16"/>
      <c r="F325" s="17"/>
      <c r="G325" s="17"/>
      <c r="H325" s="14"/>
      <c r="I325" s="17"/>
      <c r="J325" s="15"/>
      <c r="K325" s="15"/>
      <c r="L325" s="15"/>
      <c r="M325" s="9">
        <f>IF($A325="","",IF(LEFT($B325,5)="LEAPS",$D325,$C325)*100*$E325)</f>
      </c>
      <c r="N325" s="10">
        <f>IF(OR($A325="",ISNUMBER(MATCH(LOWER($H325),{"open",""},0))),"",IF(LEFT($B325,5)="LEAPS",-1,1)*($D325-IF(ISNUMBER(MATCH(LOWER($H325),{"closed"},0)),$J325,0))*100*$E325-$K325-$L325)</f>
      </c>
      <c r="O325" s="11">
        <f>IF(OR($A325="",$F325=""),"",MAX(1,IF(ISNUMBER(MATCH(LOWER($H325),{"open",""},0)),MIN(TODAY(),$G325),IF($I325="",$G325,$I325))-$F325))</f>
      </c>
      <c r="P325" s="12">
        <f>IF(OR($N325="",$M325="",$M325=0),"",$N325/$M325)</f>
      </c>
      <c r="Q325" s="12">
        <f>IF(OR($P325="",$O325=""),"",$P325*365/$O325)</f>
      </c>
      <c r="R325">
        <f>IF($N325="",0,$M325*$O325)</f>
      </c>
      <c r="S325">
        <f>IF(OR($A325="",LEFT($B325,5)="LEAPS"),0,$D325*100*$E325)</f>
      </c>
    </row>
    <row r="326" spans="1:19" x14ac:dyDescent="0.25">
      <c r="A326" s="13"/>
      <c r="B326" s="14"/>
      <c r="C326" s="15"/>
      <c r="D326" s="15"/>
      <c r="E326" s="16"/>
      <c r="F326" s="17"/>
      <c r="G326" s="17"/>
      <c r="H326" s="14"/>
      <c r="I326" s="17"/>
      <c r="J326" s="15"/>
      <c r="K326" s="15"/>
      <c r="L326" s="15"/>
      <c r="M326" s="9">
        <f>IF($A326="","",IF(LEFT($B326,5)="LEAPS",$D326,$C326)*100*$E326)</f>
      </c>
      <c r="N326" s="10">
        <f>IF(OR($A326="",ISNUMBER(MATCH(LOWER($H326),{"open",""},0))),"",IF(LEFT($B326,5)="LEAPS",-1,1)*($D326-IF(ISNUMBER(MATCH(LOWER($H326),{"closed"},0)),$J326,0))*100*$E326-$K326-$L326)</f>
      </c>
      <c r="O326" s="11">
        <f>IF(OR($A326="",$F326=""),"",MAX(1,IF(ISNUMBER(MATCH(LOWER($H326),{"open",""},0)),MIN(TODAY(),$G326),IF($I326="",$G326,$I326))-$F326))</f>
      </c>
      <c r="P326" s="12">
        <f>IF(OR($N326="",$M326="",$M326=0),"",$N326/$M326)</f>
      </c>
      <c r="Q326" s="12">
        <f>IF(OR($P326="",$O326=""),"",$P326*365/$O326)</f>
      </c>
      <c r="R326">
        <f>IF($N326="",0,$M326*$O326)</f>
      </c>
      <c r="S326">
        <f>IF(OR($A326="",LEFT($B326,5)="LEAPS"),0,$D326*100*$E326)</f>
      </c>
    </row>
    <row r="327" spans="1:19" x14ac:dyDescent="0.25">
      <c r="A327" s="13"/>
      <c r="B327" s="14"/>
      <c r="C327" s="15"/>
      <c r="D327" s="15"/>
      <c r="E327" s="16"/>
      <c r="F327" s="17"/>
      <c r="G327" s="17"/>
      <c r="H327" s="14"/>
      <c r="I327" s="17"/>
      <c r="J327" s="15"/>
      <c r="K327" s="15"/>
      <c r="L327" s="15"/>
      <c r="M327" s="9">
        <f>IF($A327="","",IF(LEFT($B327,5)="LEAPS",$D327,$C327)*100*$E327)</f>
      </c>
      <c r="N327" s="10">
        <f>IF(OR($A327="",ISNUMBER(MATCH(LOWER($H327),{"open",""},0))),"",IF(LEFT($B327,5)="LEAPS",-1,1)*($D327-IF(ISNUMBER(MATCH(LOWER($H327),{"closed"},0)),$J327,0))*100*$E327-$K327-$L327)</f>
      </c>
      <c r="O327" s="11">
        <f>IF(OR($A327="",$F327=""),"",MAX(1,IF(ISNUMBER(MATCH(LOWER($H327),{"open",""},0)),MIN(TODAY(),$G327),IF($I327="",$G327,$I327))-$F327))</f>
      </c>
      <c r="P327" s="12">
        <f>IF(OR($N327="",$M327="",$M327=0),"",$N327/$M327)</f>
      </c>
      <c r="Q327" s="12">
        <f>IF(OR($P327="",$O327=""),"",$P327*365/$O327)</f>
      </c>
      <c r="R327">
        <f>IF($N327="",0,$M327*$O327)</f>
      </c>
      <c r="S327">
        <f>IF(OR($A327="",LEFT($B327,5)="LEAPS"),0,$D327*100*$E327)</f>
      </c>
    </row>
    <row r="328" spans="1:19" x14ac:dyDescent="0.25">
      <c r="A328" s="13"/>
      <c r="B328" s="14"/>
      <c r="C328" s="15"/>
      <c r="D328" s="15"/>
      <c r="E328" s="16"/>
      <c r="F328" s="17"/>
      <c r="G328" s="17"/>
      <c r="H328" s="14"/>
      <c r="I328" s="17"/>
      <c r="J328" s="15"/>
      <c r="K328" s="15"/>
      <c r="L328" s="15"/>
      <c r="M328" s="9">
        <f>IF($A328="","",IF(LEFT($B328,5)="LEAPS",$D328,$C328)*100*$E328)</f>
      </c>
      <c r="N328" s="10">
        <f>IF(OR($A328="",ISNUMBER(MATCH(LOWER($H328),{"open",""},0))),"",IF(LEFT($B328,5)="LEAPS",-1,1)*($D328-IF(ISNUMBER(MATCH(LOWER($H328),{"closed"},0)),$J328,0))*100*$E328-$K328-$L328)</f>
      </c>
      <c r="O328" s="11">
        <f>IF(OR($A328="",$F328=""),"",MAX(1,IF(ISNUMBER(MATCH(LOWER($H328),{"open",""},0)),MIN(TODAY(),$G328),IF($I328="",$G328,$I328))-$F328))</f>
      </c>
      <c r="P328" s="12">
        <f>IF(OR($N328="",$M328="",$M328=0),"",$N328/$M328)</f>
      </c>
      <c r="Q328" s="12">
        <f>IF(OR($P328="",$O328=""),"",$P328*365/$O328)</f>
      </c>
      <c r="R328">
        <f>IF($N328="",0,$M328*$O328)</f>
      </c>
      <c r="S328">
        <f>IF(OR($A328="",LEFT($B328,5)="LEAPS"),0,$D328*100*$E328)</f>
      </c>
    </row>
    <row r="329" spans="1:19" x14ac:dyDescent="0.25">
      <c r="A329" s="13"/>
      <c r="B329" s="14"/>
      <c r="C329" s="15"/>
      <c r="D329" s="15"/>
      <c r="E329" s="16"/>
      <c r="F329" s="17"/>
      <c r="G329" s="17"/>
      <c r="H329" s="14"/>
      <c r="I329" s="17"/>
      <c r="J329" s="15"/>
      <c r="K329" s="15"/>
      <c r="L329" s="15"/>
      <c r="M329" s="9">
        <f>IF($A329="","",IF(LEFT($B329,5)="LEAPS",$D329,$C329)*100*$E329)</f>
      </c>
      <c r="N329" s="10">
        <f>IF(OR($A329="",ISNUMBER(MATCH(LOWER($H329),{"open",""},0))),"",IF(LEFT($B329,5)="LEAPS",-1,1)*($D329-IF(ISNUMBER(MATCH(LOWER($H329),{"closed"},0)),$J329,0))*100*$E329-$K329-$L329)</f>
      </c>
      <c r="O329" s="11">
        <f>IF(OR($A329="",$F329=""),"",MAX(1,IF(ISNUMBER(MATCH(LOWER($H329),{"open",""},0)),MIN(TODAY(),$G329),IF($I329="",$G329,$I329))-$F329))</f>
      </c>
      <c r="P329" s="12">
        <f>IF(OR($N329="",$M329="",$M329=0),"",$N329/$M329)</f>
      </c>
      <c r="Q329" s="12">
        <f>IF(OR($P329="",$O329=""),"",$P329*365/$O329)</f>
      </c>
      <c r="R329">
        <f>IF($N329="",0,$M329*$O329)</f>
      </c>
      <c r="S329">
        <f>IF(OR($A329="",LEFT($B329,5)="LEAPS"),0,$D329*100*$E329)</f>
      </c>
    </row>
    <row r="330" spans="1:19" x14ac:dyDescent="0.25">
      <c r="A330" s="13"/>
      <c r="B330" s="14"/>
      <c r="C330" s="15"/>
      <c r="D330" s="15"/>
      <c r="E330" s="16"/>
      <c r="F330" s="17"/>
      <c r="G330" s="17"/>
      <c r="H330" s="14"/>
      <c r="I330" s="17"/>
      <c r="J330" s="15"/>
      <c r="K330" s="15"/>
      <c r="L330" s="15"/>
      <c r="M330" s="9">
        <f>IF($A330="","",IF(LEFT($B330,5)="LEAPS",$D330,$C330)*100*$E330)</f>
      </c>
      <c r="N330" s="10">
        <f>IF(OR($A330="",ISNUMBER(MATCH(LOWER($H330),{"open",""},0))),"",IF(LEFT($B330,5)="LEAPS",-1,1)*($D330-IF(ISNUMBER(MATCH(LOWER($H330),{"closed"},0)),$J330,0))*100*$E330-$K330-$L330)</f>
      </c>
      <c r="O330" s="11">
        <f>IF(OR($A330="",$F330=""),"",MAX(1,IF(ISNUMBER(MATCH(LOWER($H330),{"open",""},0)),MIN(TODAY(),$G330),IF($I330="",$G330,$I330))-$F330))</f>
      </c>
      <c r="P330" s="12">
        <f>IF(OR($N330="",$M330="",$M330=0),"",$N330/$M330)</f>
      </c>
      <c r="Q330" s="12">
        <f>IF(OR($P330="",$O330=""),"",$P330*365/$O330)</f>
      </c>
      <c r="R330">
        <f>IF($N330="",0,$M330*$O330)</f>
      </c>
      <c r="S330">
        <f>IF(OR($A330="",LEFT($B330,5)="LEAPS"),0,$D330*100*$E330)</f>
      </c>
    </row>
    <row r="331" spans="1:19" x14ac:dyDescent="0.25">
      <c r="A331" s="13"/>
      <c r="B331" s="14"/>
      <c r="C331" s="15"/>
      <c r="D331" s="15"/>
      <c r="E331" s="16"/>
      <c r="F331" s="17"/>
      <c r="G331" s="17"/>
      <c r="H331" s="14"/>
      <c r="I331" s="17"/>
      <c r="J331" s="15"/>
      <c r="K331" s="15"/>
      <c r="L331" s="15"/>
      <c r="M331" s="9">
        <f>IF($A331="","",IF(LEFT($B331,5)="LEAPS",$D331,$C331)*100*$E331)</f>
      </c>
      <c r="N331" s="10">
        <f>IF(OR($A331="",ISNUMBER(MATCH(LOWER($H331),{"open",""},0))),"",IF(LEFT($B331,5)="LEAPS",-1,1)*($D331-IF(ISNUMBER(MATCH(LOWER($H331),{"closed"},0)),$J331,0))*100*$E331-$K331-$L331)</f>
      </c>
      <c r="O331" s="11">
        <f>IF(OR($A331="",$F331=""),"",MAX(1,IF(ISNUMBER(MATCH(LOWER($H331),{"open",""},0)),MIN(TODAY(),$G331),IF($I331="",$G331,$I331))-$F331))</f>
      </c>
      <c r="P331" s="12">
        <f>IF(OR($N331="",$M331="",$M331=0),"",$N331/$M331)</f>
      </c>
      <c r="Q331" s="12">
        <f>IF(OR($P331="",$O331=""),"",$P331*365/$O331)</f>
      </c>
      <c r="R331">
        <f>IF($N331="",0,$M331*$O331)</f>
      </c>
      <c r="S331">
        <f>IF(OR($A331="",LEFT($B331,5)="LEAPS"),0,$D331*100*$E331)</f>
      </c>
    </row>
    <row r="332" spans="1:19" x14ac:dyDescent="0.25">
      <c r="A332" s="13"/>
      <c r="B332" s="14"/>
      <c r="C332" s="15"/>
      <c r="D332" s="15"/>
      <c r="E332" s="16"/>
      <c r="F332" s="17"/>
      <c r="G332" s="17"/>
      <c r="H332" s="14"/>
      <c r="I332" s="17"/>
      <c r="J332" s="15"/>
      <c r="K332" s="15"/>
      <c r="L332" s="15"/>
      <c r="M332" s="9">
        <f>IF($A332="","",IF(LEFT($B332,5)="LEAPS",$D332,$C332)*100*$E332)</f>
      </c>
      <c r="N332" s="10">
        <f>IF(OR($A332="",ISNUMBER(MATCH(LOWER($H332),{"open",""},0))),"",IF(LEFT($B332,5)="LEAPS",-1,1)*($D332-IF(ISNUMBER(MATCH(LOWER($H332),{"closed"},0)),$J332,0))*100*$E332-$K332-$L332)</f>
      </c>
      <c r="O332" s="11">
        <f>IF(OR($A332="",$F332=""),"",MAX(1,IF(ISNUMBER(MATCH(LOWER($H332),{"open",""},0)),MIN(TODAY(),$G332),IF($I332="",$G332,$I332))-$F332))</f>
      </c>
      <c r="P332" s="12">
        <f>IF(OR($N332="",$M332="",$M332=0),"",$N332/$M332)</f>
      </c>
      <c r="Q332" s="12">
        <f>IF(OR($P332="",$O332=""),"",$P332*365/$O332)</f>
      </c>
      <c r="R332">
        <f>IF($N332="",0,$M332*$O332)</f>
      </c>
      <c r="S332">
        <f>IF(OR($A332="",LEFT($B332,5)="LEAPS"),0,$D332*100*$E332)</f>
      </c>
    </row>
    <row r="333" spans="1:19" x14ac:dyDescent="0.25">
      <c r="A333" s="13"/>
      <c r="B333" s="14"/>
      <c r="C333" s="15"/>
      <c r="D333" s="15"/>
      <c r="E333" s="16"/>
      <c r="F333" s="17"/>
      <c r="G333" s="17"/>
      <c r="H333" s="14"/>
      <c r="I333" s="17"/>
      <c r="J333" s="15"/>
      <c r="K333" s="15"/>
      <c r="L333" s="15"/>
      <c r="M333" s="9">
        <f>IF($A333="","",IF(LEFT($B333,5)="LEAPS",$D333,$C333)*100*$E333)</f>
      </c>
      <c r="N333" s="10">
        <f>IF(OR($A333="",ISNUMBER(MATCH(LOWER($H333),{"open",""},0))),"",IF(LEFT($B333,5)="LEAPS",-1,1)*($D333-IF(ISNUMBER(MATCH(LOWER($H333),{"closed"},0)),$J333,0))*100*$E333-$K333-$L333)</f>
      </c>
      <c r="O333" s="11">
        <f>IF(OR($A333="",$F333=""),"",MAX(1,IF(ISNUMBER(MATCH(LOWER($H333),{"open",""},0)),MIN(TODAY(),$G333),IF($I333="",$G333,$I333))-$F333))</f>
      </c>
      <c r="P333" s="12">
        <f>IF(OR($N333="",$M333="",$M333=0),"",$N333/$M333)</f>
      </c>
      <c r="Q333" s="12">
        <f>IF(OR($P333="",$O333=""),"",$P333*365/$O333)</f>
      </c>
      <c r="R333">
        <f>IF($N333="",0,$M333*$O333)</f>
      </c>
      <c r="S333">
        <f>IF(OR($A333="",LEFT($B333,5)="LEAPS"),0,$D333*100*$E333)</f>
      </c>
    </row>
    <row r="334" spans="1:19" x14ac:dyDescent="0.25">
      <c r="A334" s="13"/>
      <c r="B334" s="14"/>
      <c r="C334" s="15"/>
      <c r="D334" s="15"/>
      <c r="E334" s="16"/>
      <c r="F334" s="17"/>
      <c r="G334" s="17"/>
      <c r="H334" s="14"/>
      <c r="I334" s="17"/>
      <c r="J334" s="15"/>
      <c r="K334" s="15"/>
      <c r="L334" s="15"/>
      <c r="M334" s="9">
        <f>IF($A334="","",IF(LEFT($B334,5)="LEAPS",$D334,$C334)*100*$E334)</f>
      </c>
      <c r="N334" s="10">
        <f>IF(OR($A334="",ISNUMBER(MATCH(LOWER($H334),{"open",""},0))),"",IF(LEFT($B334,5)="LEAPS",-1,1)*($D334-IF(ISNUMBER(MATCH(LOWER($H334),{"closed"},0)),$J334,0))*100*$E334-$K334-$L334)</f>
      </c>
      <c r="O334" s="11">
        <f>IF(OR($A334="",$F334=""),"",MAX(1,IF(ISNUMBER(MATCH(LOWER($H334),{"open",""},0)),MIN(TODAY(),$G334),IF($I334="",$G334,$I334))-$F334))</f>
      </c>
      <c r="P334" s="12">
        <f>IF(OR($N334="",$M334="",$M334=0),"",$N334/$M334)</f>
      </c>
      <c r="Q334" s="12">
        <f>IF(OR($P334="",$O334=""),"",$P334*365/$O334)</f>
      </c>
      <c r="R334">
        <f>IF($N334="",0,$M334*$O334)</f>
      </c>
      <c r="S334">
        <f>IF(OR($A334="",LEFT($B334,5)="LEAPS"),0,$D334*100*$E334)</f>
      </c>
    </row>
    <row r="335" spans="1:19" x14ac:dyDescent="0.25">
      <c r="A335" s="13"/>
      <c r="B335" s="14"/>
      <c r="C335" s="15"/>
      <c r="D335" s="15"/>
      <c r="E335" s="16"/>
      <c r="F335" s="17"/>
      <c r="G335" s="17"/>
      <c r="H335" s="14"/>
      <c r="I335" s="17"/>
      <c r="J335" s="15"/>
      <c r="K335" s="15"/>
      <c r="L335" s="15"/>
      <c r="M335" s="9">
        <f>IF($A335="","",IF(LEFT($B335,5)="LEAPS",$D335,$C335)*100*$E335)</f>
      </c>
      <c r="N335" s="10">
        <f>IF(OR($A335="",ISNUMBER(MATCH(LOWER($H335),{"open",""},0))),"",IF(LEFT($B335,5)="LEAPS",-1,1)*($D335-IF(ISNUMBER(MATCH(LOWER($H335),{"closed"},0)),$J335,0))*100*$E335-$K335-$L335)</f>
      </c>
      <c r="O335" s="11">
        <f>IF(OR($A335="",$F335=""),"",MAX(1,IF(ISNUMBER(MATCH(LOWER($H335),{"open",""},0)),MIN(TODAY(),$G335),IF($I335="",$G335,$I335))-$F335))</f>
      </c>
      <c r="P335" s="12">
        <f>IF(OR($N335="",$M335="",$M335=0),"",$N335/$M335)</f>
      </c>
      <c r="Q335" s="12">
        <f>IF(OR($P335="",$O335=""),"",$P335*365/$O335)</f>
      </c>
      <c r="R335">
        <f>IF($N335="",0,$M335*$O335)</f>
      </c>
      <c r="S335">
        <f>IF(OR($A335="",LEFT($B335,5)="LEAPS"),0,$D335*100*$E335)</f>
      </c>
    </row>
    <row r="336" spans="1:19" x14ac:dyDescent="0.25">
      <c r="A336" s="13"/>
      <c r="B336" s="14"/>
      <c r="C336" s="15"/>
      <c r="D336" s="15"/>
      <c r="E336" s="16"/>
      <c r="F336" s="17"/>
      <c r="G336" s="17"/>
      <c r="H336" s="14"/>
      <c r="I336" s="17"/>
      <c r="J336" s="15"/>
      <c r="K336" s="15"/>
      <c r="L336" s="15"/>
      <c r="M336" s="9">
        <f>IF($A336="","",IF(LEFT($B336,5)="LEAPS",$D336,$C336)*100*$E336)</f>
      </c>
      <c r="N336" s="10">
        <f>IF(OR($A336="",ISNUMBER(MATCH(LOWER($H336),{"open",""},0))),"",IF(LEFT($B336,5)="LEAPS",-1,1)*($D336-IF(ISNUMBER(MATCH(LOWER($H336),{"closed"},0)),$J336,0))*100*$E336-$K336-$L336)</f>
      </c>
      <c r="O336" s="11">
        <f>IF(OR($A336="",$F336=""),"",MAX(1,IF(ISNUMBER(MATCH(LOWER($H336),{"open",""},0)),MIN(TODAY(),$G336),IF($I336="",$G336,$I336))-$F336))</f>
      </c>
      <c r="P336" s="12">
        <f>IF(OR($N336="",$M336="",$M336=0),"",$N336/$M336)</f>
      </c>
      <c r="Q336" s="12">
        <f>IF(OR($P336="",$O336=""),"",$P336*365/$O336)</f>
      </c>
      <c r="R336">
        <f>IF($N336="",0,$M336*$O336)</f>
      </c>
      <c r="S336">
        <f>IF(OR($A336="",LEFT($B336,5)="LEAPS"),0,$D336*100*$E336)</f>
      </c>
    </row>
    <row r="337" spans="1:19" x14ac:dyDescent="0.25">
      <c r="A337" s="13"/>
      <c r="B337" s="14"/>
      <c r="C337" s="15"/>
      <c r="D337" s="15"/>
      <c r="E337" s="16"/>
      <c r="F337" s="17"/>
      <c r="G337" s="17"/>
      <c r="H337" s="14"/>
      <c r="I337" s="17"/>
      <c r="J337" s="15"/>
      <c r="K337" s="15"/>
      <c r="L337" s="15"/>
      <c r="M337" s="9">
        <f>IF($A337="","",IF(LEFT($B337,5)="LEAPS",$D337,$C337)*100*$E337)</f>
      </c>
      <c r="N337" s="10">
        <f>IF(OR($A337="",ISNUMBER(MATCH(LOWER($H337),{"open",""},0))),"",IF(LEFT($B337,5)="LEAPS",-1,1)*($D337-IF(ISNUMBER(MATCH(LOWER($H337),{"closed"},0)),$J337,0))*100*$E337-$K337-$L337)</f>
      </c>
      <c r="O337" s="11">
        <f>IF(OR($A337="",$F337=""),"",MAX(1,IF(ISNUMBER(MATCH(LOWER($H337),{"open",""},0)),MIN(TODAY(),$G337),IF($I337="",$G337,$I337))-$F337))</f>
      </c>
      <c r="P337" s="12">
        <f>IF(OR($N337="",$M337="",$M337=0),"",$N337/$M337)</f>
      </c>
      <c r="Q337" s="12">
        <f>IF(OR($P337="",$O337=""),"",$P337*365/$O337)</f>
      </c>
      <c r="R337">
        <f>IF($N337="",0,$M337*$O337)</f>
      </c>
      <c r="S337">
        <f>IF(OR($A337="",LEFT($B337,5)="LEAPS"),0,$D337*100*$E337)</f>
      </c>
    </row>
    <row r="338" spans="1:19" x14ac:dyDescent="0.25">
      <c r="A338" s="13"/>
      <c r="B338" s="14"/>
      <c r="C338" s="15"/>
      <c r="D338" s="15"/>
      <c r="E338" s="16"/>
      <c r="F338" s="17"/>
      <c r="G338" s="17"/>
      <c r="H338" s="14"/>
      <c r="I338" s="17"/>
      <c r="J338" s="15"/>
      <c r="K338" s="15"/>
      <c r="L338" s="15"/>
      <c r="M338" s="9">
        <f>IF($A338="","",IF(LEFT($B338,5)="LEAPS",$D338,$C338)*100*$E338)</f>
      </c>
      <c r="N338" s="10">
        <f>IF(OR($A338="",ISNUMBER(MATCH(LOWER($H338),{"open",""},0))),"",IF(LEFT($B338,5)="LEAPS",-1,1)*($D338-IF(ISNUMBER(MATCH(LOWER($H338),{"closed"},0)),$J338,0))*100*$E338-$K338-$L338)</f>
      </c>
      <c r="O338" s="11">
        <f>IF(OR($A338="",$F338=""),"",MAX(1,IF(ISNUMBER(MATCH(LOWER($H338),{"open",""},0)),MIN(TODAY(),$G338),IF($I338="",$G338,$I338))-$F338))</f>
      </c>
      <c r="P338" s="12">
        <f>IF(OR($N338="",$M338="",$M338=0),"",$N338/$M338)</f>
      </c>
      <c r="Q338" s="12">
        <f>IF(OR($P338="",$O338=""),"",$P338*365/$O338)</f>
      </c>
      <c r="R338">
        <f>IF($N338="",0,$M338*$O338)</f>
      </c>
      <c r="S338">
        <f>IF(OR($A338="",LEFT($B338,5)="LEAPS"),0,$D338*100*$E338)</f>
      </c>
    </row>
    <row r="339" spans="1:19" x14ac:dyDescent="0.25">
      <c r="A339" s="13"/>
      <c r="B339" s="14"/>
      <c r="C339" s="15"/>
      <c r="D339" s="15"/>
      <c r="E339" s="16"/>
      <c r="F339" s="17"/>
      <c r="G339" s="17"/>
      <c r="H339" s="14"/>
      <c r="I339" s="17"/>
      <c r="J339" s="15"/>
      <c r="K339" s="15"/>
      <c r="L339" s="15"/>
      <c r="M339" s="9">
        <f>IF($A339="","",IF(LEFT($B339,5)="LEAPS",$D339,$C339)*100*$E339)</f>
      </c>
      <c r="N339" s="10">
        <f>IF(OR($A339="",ISNUMBER(MATCH(LOWER($H339),{"open",""},0))),"",IF(LEFT($B339,5)="LEAPS",-1,1)*($D339-IF(ISNUMBER(MATCH(LOWER($H339),{"closed"},0)),$J339,0))*100*$E339-$K339-$L339)</f>
      </c>
      <c r="O339" s="11">
        <f>IF(OR($A339="",$F339=""),"",MAX(1,IF(ISNUMBER(MATCH(LOWER($H339),{"open",""},0)),MIN(TODAY(),$G339),IF($I339="",$G339,$I339))-$F339))</f>
      </c>
      <c r="P339" s="12">
        <f>IF(OR($N339="",$M339="",$M339=0),"",$N339/$M339)</f>
      </c>
      <c r="Q339" s="12">
        <f>IF(OR($P339="",$O339=""),"",$P339*365/$O339)</f>
      </c>
      <c r="R339">
        <f>IF($N339="",0,$M339*$O339)</f>
      </c>
      <c r="S339">
        <f>IF(OR($A339="",LEFT($B339,5)="LEAPS"),0,$D339*100*$E339)</f>
      </c>
    </row>
    <row r="340" spans="1:19" x14ac:dyDescent="0.25">
      <c r="A340" s="13"/>
      <c r="B340" s="14"/>
      <c r="C340" s="15"/>
      <c r="D340" s="15"/>
      <c r="E340" s="16"/>
      <c r="F340" s="17"/>
      <c r="G340" s="17"/>
      <c r="H340" s="14"/>
      <c r="I340" s="17"/>
      <c r="J340" s="15"/>
      <c r="K340" s="15"/>
      <c r="L340" s="15"/>
      <c r="M340" s="9">
        <f>IF($A340="","",IF(LEFT($B340,5)="LEAPS",$D340,$C340)*100*$E340)</f>
      </c>
      <c r="N340" s="10">
        <f>IF(OR($A340="",ISNUMBER(MATCH(LOWER($H340),{"open",""},0))),"",IF(LEFT($B340,5)="LEAPS",-1,1)*($D340-IF(ISNUMBER(MATCH(LOWER($H340),{"closed"},0)),$J340,0))*100*$E340-$K340-$L340)</f>
      </c>
      <c r="O340" s="11">
        <f>IF(OR($A340="",$F340=""),"",MAX(1,IF(ISNUMBER(MATCH(LOWER($H340),{"open",""},0)),MIN(TODAY(),$G340),IF($I340="",$G340,$I340))-$F340))</f>
      </c>
      <c r="P340" s="12">
        <f>IF(OR($N340="",$M340="",$M340=0),"",$N340/$M340)</f>
      </c>
      <c r="Q340" s="12">
        <f>IF(OR($P340="",$O340=""),"",$P340*365/$O340)</f>
      </c>
      <c r="R340">
        <f>IF($N340="",0,$M340*$O340)</f>
      </c>
      <c r="S340">
        <f>IF(OR($A340="",LEFT($B340,5)="LEAPS"),0,$D340*100*$E340)</f>
      </c>
    </row>
    <row r="341" spans="1:19" x14ac:dyDescent="0.25">
      <c r="A341" s="13"/>
      <c r="B341" s="14"/>
      <c r="C341" s="15"/>
      <c r="D341" s="15"/>
      <c r="E341" s="16"/>
      <c r="F341" s="17"/>
      <c r="G341" s="17"/>
      <c r="H341" s="14"/>
      <c r="I341" s="17"/>
      <c r="J341" s="15"/>
      <c r="K341" s="15"/>
      <c r="L341" s="15"/>
      <c r="M341" s="9">
        <f>IF($A341="","",IF(LEFT($B341,5)="LEAPS",$D341,$C341)*100*$E341)</f>
      </c>
      <c r="N341" s="10">
        <f>IF(OR($A341="",ISNUMBER(MATCH(LOWER($H341),{"open",""},0))),"",IF(LEFT($B341,5)="LEAPS",-1,1)*($D341-IF(ISNUMBER(MATCH(LOWER($H341),{"closed"},0)),$J341,0))*100*$E341-$K341-$L341)</f>
      </c>
      <c r="O341" s="11">
        <f>IF(OR($A341="",$F341=""),"",MAX(1,IF(ISNUMBER(MATCH(LOWER($H341),{"open",""},0)),MIN(TODAY(),$G341),IF($I341="",$G341,$I341))-$F341))</f>
      </c>
      <c r="P341" s="12">
        <f>IF(OR($N341="",$M341="",$M341=0),"",$N341/$M341)</f>
      </c>
      <c r="Q341" s="12">
        <f>IF(OR($P341="",$O341=""),"",$P341*365/$O341)</f>
      </c>
      <c r="R341">
        <f>IF($N341="",0,$M341*$O341)</f>
      </c>
      <c r="S341">
        <f>IF(OR($A341="",LEFT($B341,5)="LEAPS"),0,$D341*100*$E341)</f>
      </c>
    </row>
    <row r="342" spans="1:19" x14ac:dyDescent="0.25">
      <c r="A342" s="13"/>
      <c r="B342" s="14"/>
      <c r="C342" s="15"/>
      <c r="D342" s="15"/>
      <c r="E342" s="16"/>
      <c r="F342" s="17"/>
      <c r="G342" s="17"/>
      <c r="H342" s="14"/>
      <c r="I342" s="17"/>
      <c r="J342" s="15"/>
      <c r="K342" s="15"/>
      <c r="L342" s="15"/>
      <c r="M342" s="9">
        <f>IF($A342="","",IF(LEFT($B342,5)="LEAPS",$D342,$C342)*100*$E342)</f>
      </c>
      <c r="N342" s="10">
        <f>IF(OR($A342="",ISNUMBER(MATCH(LOWER($H342),{"open",""},0))),"",IF(LEFT($B342,5)="LEAPS",-1,1)*($D342-IF(ISNUMBER(MATCH(LOWER($H342),{"closed"},0)),$J342,0))*100*$E342-$K342-$L342)</f>
      </c>
      <c r="O342" s="11">
        <f>IF(OR($A342="",$F342=""),"",MAX(1,IF(ISNUMBER(MATCH(LOWER($H342),{"open",""},0)),MIN(TODAY(),$G342),IF($I342="",$G342,$I342))-$F342))</f>
      </c>
      <c r="P342" s="12">
        <f>IF(OR($N342="",$M342="",$M342=0),"",$N342/$M342)</f>
      </c>
      <c r="Q342" s="12">
        <f>IF(OR($P342="",$O342=""),"",$P342*365/$O342)</f>
      </c>
      <c r="R342">
        <f>IF($N342="",0,$M342*$O342)</f>
      </c>
      <c r="S342">
        <f>IF(OR($A342="",LEFT($B342,5)="LEAPS"),0,$D342*100*$E342)</f>
      </c>
    </row>
    <row r="343" spans="1:19" x14ac:dyDescent="0.25">
      <c r="A343" s="13"/>
      <c r="B343" s="14"/>
      <c r="C343" s="15"/>
      <c r="D343" s="15"/>
      <c r="E343" s="16"/>
      <c r="F343" s="17"/>
      <c r="G343" s="17"/>
      <c r="H343" s="14"/>
      <c r="I343" s="17"/>
      <c r="J343" s="15"/>
      <c r="K343" s="15"/>
      <c r="L343" s="15"/>
      <c r="M343" s="9">
        <f>IF($A343="","",IF(LEFT($B343,5)="LEAPS",$D343,$C343)*100*$E343)</f>
      </c>
      <c r="N343" s="10">
        <f>IF(OR($A343="",ISNUMBER(MATCH(LOWER($H343),{"open",""},0))),"",IF(LEFT($B343,5)="LEAPS",-1,1)*($D343-IF(ISNUMBER(MATCH(LOWER($H343),{"closed"},0)),$J343,0))*100*$E343-$K343-$L343)</f>
      </c>
      <c r="O343" s="11">
        <f>IF(OR($A343="",$F343=""),"",MAX(1,IF(ISNUMBER(MATCH(LOWER($H343),{"open",""},0)),MIN(TODAY(),$G343),IF($I343="",$G343,$I343))-$F343))</f>
      </c>
      <c r="P343" s="12">
        <f>IF(OR($N343="",$M343="",$M343=0),"",$N343/$M343)</f>
      </c>
      <c r="Q343" s="12">
        <f>IF(OR($P343="",$O343=""),"",$P343*365/$O343)</f>
      </c>
      <c r="R343">
        <f>IF($N343="",0,$M343*$O343)</f>
      </c>
      <c r="S343">
        <f>IF(OR($A343="",LEFT($B343,5)="LEAPS"),0,$D343*100*$E343)</f>
      </c>
    </row>
    <row r="344" spans="1:19" x14ac:dyDescent="0.25">
      <c r="A344" s="13"/>
      <c r="B344" s="14"/>
      <c r="C344" s="15"/>
      <c r="D344" s="15"/>
      <c r="E344" s="16"/>
      <c r="F344" s="17"/>
      <c r="G344" s="17"/>
      <c r="H344" s="14"/>
      <c r="I344" s="17"/>
      <c r="J344" s="15"/>
      <c r="K344" s="15"/>
      <c r="L344" s="15"/>
      <c r="M344" s="9">
        <f>IF($A344="","",IF(LEFT($B344,5)="LEAPS",$D344,$C344)*100*$E344)</f>
      </c>
      <c r="N344" s="10">
        <f>IF(OR($A344="",ISNUMBER(MATCH(LOWER($H344),{"open",""},0))),"",IF(LEFT($B344,5)="LEAPS",-1,1)*($D344-IF(ISNUMBER(MATCH(LOWER($H344),{"closed"},0)),$J344,0))*100*$E344-$K344-$L344)</f>
      </c>
      <c r="O344" s="11">
        <f>IF(OR($A344="",$F344=""),"",MAX(1,IF(ISNUMBER(MATCH(LOWER($H344),{"open",""},0)),MIN(TODAY(),$G344),IF($I344="",$G344,$I344))-$F344))</f>
      </c>
      <c r="P344" s="12">
        <f>IF(OR($N344="",$M344="",$M344=0),"",$N344/$M344)</f>
      </c>
      <c r="Q344" s="12">
        <f>IF(OR($P344="",$O344=""),"",$P344*365/$O344)</f>
      </c>
      <c r="R344">
        <f>IF($N344="",0,$M344*$O344)</f>
      </c>
      <c r="S344">
        <f>IF(OR($A344="",LEFT($B344,5)="LEAPS"),0,$D344*100*$E344)</f>
      </c>
    </row>
    <row r="345" spans="1:19" x14ac:dyDescent="0.25">
      <c r="A345" s="13"/>
      <c r="B345" s="14"/>
      <c r="C345" s="15"/>
      <c r="D345" s="15"/>
      <c r="E345" s="16"/>
      <c r="F345" s="17"/>
      <c r="G345" s="17"/>
      <c r="H345" s="14"/>
      <c r="I345" s="17"/>
      <c r="J345" s="15"/>
      <c r="K345" s="15"/>
      <c r="L345" s="15"/>
      <c r="M345" s="9">
        <f>IF($A345="","",IF(LEFT($B345,5)="LEAPS",$D345,$C345)*100*$E345)</f>
      </c>
      <c r="N345" s="10">
        <f>IF(OR($A345="",ISNUMBER(MATCH(LOWER($H345),{"open",""},0))),"",IF(LEFT($B345,5)="LEAPS",-1,1)*($D345-IF(ISNUMBER(MATCH(LOWER($H345),{"closed"},0)),$J345,0))*100*$E345-$K345-$L345)</f>
      </c>
      <c r="O345" s="11">
        <f>IF(OR($A345="",$F345=""),"",MAX(1,IF(ISNUMBER(MATCH(LOWER($H345),{"open",""},0)),MIN(TODAY(),$G345),IF($I345="",$G345,$I345))-$F345))</f>
      </c>
      <c r="P345" s="12">
        <f>IF(OR($N345="",$M345="",$M345=0),"",$N345/$M345)</f>
      </c>
      <c r="Q345" s="12">
        <f>IF(OR($P345="",$O345=""),"",$P345*365/$O345)</f>
      </c>
      <c r="R345">
        <f>IF($N345="",0,$M345*$O345)</f>
      </c>
      <c r="S345">
        <f>IF(OR($A345="",LEFT($B345,5)="LEAPS"),0,$D345*100*$E345)</f>
      </c>
    </row>
    <row r="346" spans="1:19" x14ac:dyDescent="0.25">
      <c r="A346" s="13"/>
      <c r="B346" s="14"/>
      <c r="C346" s="15"/>
      <c r="D346" s="15"/>
      <c r="E346" s="16"/>
      <c r="F346" s="17"/>
      <c r="G346" s="17"/>
      <c r="H346" s="14"/>
      <c r="I346" s="17"/>
      <c r="J346" s="15"/>
      <c r="K346" s="15"/>
      <c r="L346" s="15"/>
      <c r="M346" s="9">
        <f>IF($A346="","",IF(LEFT($B346,5)="LEAPS",$D346,$C346)*100*$E346)</f>
      </c>
      <c r="N346" s="10">
        <f>IF(OR($A346="",ISNUMBER(MATCH(LOWER($H346),{"open",""},0))),"",IF(LEFT($B346,5)="LEAPS",-1,1)*($D346-IF(ISNUMBER(MATCH(LOWER($H346),{"closed"},0)),$J346,0))*100*$E346-$K346-$L346)</f>
      </c>
      <c r="O346" s="11">
        <f>IF(OR($A346="",$F346=""),"",MAX(1,IF(ISNUMBER(MATCH(LOWER($H346),{"open",""},0)),MIN(TODAY(),$G346),IF($I346="",$G346,$I346))-$F346))</f>
      </c>
      <c r="P346" s="12">
        <f>IF(OR($N346="",$M346="",$M346=0),"",$N346/$M346)</f>
      </c>
      <c r="Q346" s="12">
        <f>IF(OR($P346="",$O346=""),"",$P346*365/$O346)</f>
      </c>
      <c r="R346">
        <f>IF($N346="",0,$M346*$O346)</f>
      </c>
      <c r="S346">
        <f>IF(OR($A346="",LEFT($B346,5)="LEAPS"),0,$D346*100*$E346)</f>
      </c>
    </row>
    <row r="347" spans="1:19" x14ac:dyDescent="0.25">
      <c r="A347" s="13"/>
      <c r="B347" s="14"/>
      <c r="C347" s="15"/>
      <c r="D347" s="15"/>
      <c r="E347" s="16"/>
      <c r="F347" s="17"/>
      <c r="G347" s="17"/>
      <c r="H347" s="14"/>
      <c r="I347" s="17"/>
      <c r="J347" s="15"/>
      <c r="K347" s="15"/>
      <c r="L347" s="15"/>
      <c r="M347" s="9">
        <f>IF($A347="","",IF(LEFT($B347,5)="LEAPS",$D347,$C347)*100*$E347)</f>
      </c>
      <c r="N347" s="10">
        <f>IF(OR($A347="",ISNUMBER(MATCH(LOWER($H347),{"open",""},0))),"",IF(LEFT($B347,5)="LEAPS",-1,1)*($D347-IF(ISNUMBER(MATCH(LOWER($H347),{"closed"},0)),$J347,0))*100*$E347-$K347-$L347)</f>
      </c>
      <c r="O347" s="11">
        <f>IF(OR($A347="",$F347=""),"",MAX(1,IF(ISNUMBER(MATCH(LOWER($H347),{"open",""},0)),MIN(TODAY(),$G347),IF($I347="",$G347,$I347))-$F347))</f>
      </c>
      <c r="P347" s="12">
        <f>IF(OR($N347="",$M347="",$M347=0),"",$N347/$M347)</f>
      </c>
      <c r="Q347" s="12">
        <f>IF(OR($P347="",$O347=""),"",$P347*365/$O347)</f>
      </c>
      <c r="R347">
        <f>IF($N347="",0,$M347*$O347)</f>
      </c>
      <c r="S347">
        <f>IF(OR($A347="",LEFT($B347,5)="LEAPS"),0,$D347*100*$E347)</f>
      </c>
    </row>
    <row r="348" spans="1:19" x14ac:dyDescent="0.25">
      <c r="A348" s="13"/>
      <c r="B348" s="14"/>
      <c r="C348" s="15"/>
      <c r="D348" s="15"/>
      <c r="E348" s="16"/>
      <c r="F348" s="17"/>
      <c r="G348" s="17"/>
      <c r="H348" s="14"/>
      <c r="I348" s="17"/>
      <c r="J348" s="15"/>
      <c r="K348" s="15"/>
      <c r="L348" s="15"/>
      <c r="M348" s="9">
        <f>IF($A348="","",IF(LEFT($B348,5)="LEAPS",$D348,$C348)*100*$E348)</f>
      </c>
      <c r="N348" s="10">
        <f>IF(OR($A348="",ISNUMBER(MATCH(LOWER($H348),{"open",""},0))),"",IF(LEFT($B348,5)="LEAPS",-1,1)*($D348-IF(ISNUMBER(MATCH(LOWER($H348),{"closed"},0)),$J348,0))*100*$E348-$K348-$L348)</f>
      </c>
      <c r="O348" s="11">
        <f>IF(OR($A348="",$F348=""),"",MAX(1,IF(ISNUMBER(MATCH(LOWER($H348),{"open",""},0)),MIN(TODAY(),$G348),IF($I348="",$G348,$I348))-$F348))</f>
      </c>
      <c r="P348" s="12">
        <f>IF(OR($N348="",$M348="",$M348=0),"",$N348/$M348)</f>
      </c>
      <c r="Q348" s="12">
        <f>IF(OR($P348="",$O348=""),"",$P348*365/$O348)</f>
      </c>
      <c r="R348">
        <f>IF($N348="",0,$M348*$O348)</f>
      </c>
      <c r="S348">
        <f>IF(OR($A348="",LEFT($B348,5)="LEAPS"),0,$D348*100*$E348)</f>
      </c>
    </row>
    <row r="349" spans="1:19" x14ac:dyDescent="0.25">
      <c r="A349" s="13"/>
      <c r="B349" s="14"/>
      <c r="C349" s="15"/>
      <c r="D349" s="15"/>
      <c r="E349" s="16"/>
      <c r="F349" s="17"/>
      <c r="G349" s="17"/>
      <c r="H349" s="14"/>
      <c r="I349" s="17"/>
      <c r="J349" s="15"/>
      <c r="K349" s="15"/>
      <c r="L349" s="15"/>
      <c r="M349" s="9">
        <f>IF($A349="","",IF(LEFT($B349,5)="LEAPS",$D349,$C349)*100*$E349)</f>
      </c>
      <c r="N349" s="10">
        <f>IF(OR($A349="",ISNUMBER(MATCH(LOWER($H349),{"open",""},0))),"",IF(LEFT($B349,5)="LEAPS",-1,1)*($D349-IF(ISNUMBER(MATCH(LOWER($H349),{"closed"},0)),$J349,0))*100*$E349-$K349-$L349)</f>
      </c>
      <c r="O349" s="11">
        <f>IF(OR($A349="",$F349=""),"",MAX(1,IF(ISNUMBER(MATCH(LOWER($H349),{"open",""},0)),MIN(TODAY(),$G349),IF($I349="",$G349,$I349))-$F349))</f>
      </c>
      <c r="P349" s="12">
        <f>IF(OR($N349="",$M349="",$M349=0),"",$N349/$M349)</f>
      </c>
      <c r="Q349" s="12">
        <f>IF(OR($P349="",$O349=""),"",$P349*365/$O349)</f>
      </c>
      <c r="R349">
        <f>IF($N349="",0,$M349*$O349)</f>
      </c>
      <c r="S349">
        <f>IF(OR($A349="",LEFT($B349,5)="LEAPS"),0,$D349*100*$E349)</f>
      </c>
    </row>
    <row r="350" spans="1:19" x14ac:dyDescent="0.25">
      <c r="A350" s="13"/>
      <c r="B350" s="14"/>
      <c r="C350" s="15"/>
      <c r="D350" s="15"/>
      <c r="E350" s="16"/>
      <c r="F350" s="17"/>
      <c r="G350" s="17"/>
      <c r="H350" s="14"/>
      <c r="I350" s="17"/>
      <c r="J350" s="15"/>
      <c r="K350" s="15"/>
      <c r="L350" s="15"/>
      <c r="M350" s="9">
        <f>IF($A350="","",IF(LEFT($B350,5)="LEAPS",$D350,$C350)*100*$E350)</f>
      </c>
      <c r="N350" s="10">
        <f>IF(OR($A350="",ISNUMBER(MATCH(LOWER($H350),{"open",""},0))),"",IF(LEFT($B350,5)="LEAPS",-1,1)*($D350-IF(ISNUMBER(MATCH(LOWER($H350),{"closed"},0)),$J350,0))*100*$E350-$K350-$L350)</f>
      </c>
      <c r="O350" s="11">
        <f>IF(OR($A350="",$F350=""),"",MAX(1,IF(ISNUMBER(MATCH(LOWER($H350),{"open",""},0)),MIN(TODAY(),$G350),IF($I350="",$G350,$I350))-$F350))</f>
      </c>
      <c r="P350" s="12">
        <f>IF(OR($N350="",$M350="",$M350=0),"",$N350/$M350)</f>
      </c>
      <c r="Q350" s="12">
        <f>IF(OR($P350="",$O350=""),"",$P350*365/$O350)</f>
      </c>
      <c r="R350">
        <f>IF($N350="",0,$M350*$O350)</f>
      </c>
      <c r="S350">
        <f>IF(OR($A350="",LEFT($B350,5)="LEAPS"),0,$D350*100*$E350)</f>
      </c>
    </row>
    <row r="351" spans="1:19" x14ac:dyDescent="0.25">
      <c r="A351" s="13"/>
      <c r="B351" s="14"/>
      <c r="C351" s="15"/>
      <c r="D351" s="15"/>
      <c r="E351" s="16"/>
      <c r="F351" s="17"/>
      <c r="G351" s="17"/>
      <c r="H351" s="14"/>
      <c r="I351" s="17"/>
      <c r="J351" s="15"/>
      <c r="K351" s="15"/>
      <c r="L351" s="15"/>
      <c r="M351" s="9">
        <f>IF($A351="","",IF(LEFT($B351,5)="LEAPS",$D351,$C351)*100*$E351)</f>
      </c>
      <c r="N351" s="10">
        <f>IF(OR($A351="",ISNUMBER(MATCH(LOWER($H351),{"open",""},0))),"",IF(LEFT($B351,5)="LEAPS",-1,1)*($D351-IF(ISNUMBER(MATCH(LOWER($H351),{"closed"},0)),$J351,0))*100*$E351-$K351-$L351)</f>
      </c>
      <c r="O351" s="11">
        <f>IF(OR($A351="",$F351=""),"",MAX(1,IF(ISNUMBER(MATCH(LOWER($H351),{"open",""},0)),MIN(TODAY(),$G351),IF($I351="",$G351,$I351))-$F351))</f>
      </c>
      <c r="P351" s="12">
        <f>IF(OR($N351="",$M351="",$M351=0),"",$N351/$M351)</f>
      </c>
      <c r="Q351" s="12">
        <f>IF(OR($P351="",$O351=""),"",$P351*365/$O351)</f>
      </c>
      <c r="R351">
        <f>IF($N351="",0,$M351*$O351)</f>
      </c>
      <c r="S351">
        <f>IF(OR($A351="",LEFT($B351,5)="LEAPS"),0,$D351*100*$E351)</f>
      </c>
    </row>
    <row r="352" spans="1:19" x14ac:dyDescent="0.25">
      <c r="A352" s="13"/>
      <c r="B352" s="14"/>
      <c r="C352" s="15"/>
      <c r="D352" s="15"/>
      <c r="E352" s="16"/>
      <c r="F352" s="17"/>
      <c r="G352" s="17"/>
      <c r="H352" s="14"/>
      <c r="I352" s="17"/>
      <c r="J352" s="15"/>
      <c r="K352" s="15"/>
      <c r="L352" s="15"/>
      <c r="M352" s="9">
        <f>IF($A352="","",IF(LEFT($B352,5)="LEAPS",$D352,$C352)*100*$E352)</f>
      </c>
      <c r="N352" s="10">
        <f>IF(OR($A352="",ISNUMBER(MATCH(LOWER($H352),{"open",""},0))),"",IF(LEFT($B352,5)="LEAPS",-1,1)*($D352-IF(ISNUMBER(MATCH(LOWER($H352),{"closed"},0)),$J352,0))*100*$E352-$K352-$L352)</f>
      </c>
      <c r="O352" s="11">
        <f>IF(OR($A352="",$F352=""),"",MAX(1,IF(ISNUMBER(MATCH(LOWER($H352),{"open",""},0)),MIN(TODAY(),$G352),IF($I352="",$G352,$I352))-$F352))</f>
      </c>
      <c r="P352" s="12">
        <f>IF(OR($N352="",$M352="",$M352=0),"",$N352/$M352)</f>
      </c>
      <c r="Q352" s="12">
        <f>IF(OR($P352="",$O352=""),"",$P352*365/$O352)</f>
      </c>
      <c r="R352">
        <f>IF($N352="",0,$M352*$O352)</f>
      </c>
      <c r="S352">
        <f>IF(OR($A352="",LEFT($B352,5)="LEAPS"),0,$D352*100*$E352)</f>
      </c>
    </row>
    <row r="353" spans="1:19" x14ac:dyDescent="0.25">
      <c r="A353" s="13"/>
      <c r="B353" s="14"/>
      <c r="C353" s="15"/>
      <c r="D353" s="15"/>
      <c r="E353" s="16"/>
      <c r="F353" s="17"/>
      <c r="G353" s="17"/>
      <c r="H353" s="14"/>
      <c r="I353" s="17"/>
      <c r="J353" s="15"/>
      <c r="K353" s="15"/>
      <c r="L353" s="15"/>
      <c r="M353" s="9">
        <f>IF($A353="","",IF(LEFT($B353,5)="LEAPS",$D353,$C353)*100*$E353)</f>
      </c>
      <c r="N353" s="10">
        <f>IF(OR($A353="",ISNUMBER(MATCH(LOWER($H353),{"open",""},0))),"",IF(LEFT($B353,5)="LEAPS",-1,1)*($D353-IF(ISNUMBER(MATCH(LOWER($H353),{"closed"},0)),$J353,0))*100*$E353-$K353-$L353)</f>
      </c>
      <c r="O353" s="11">
        <f>IF(OR($A353="",$F353=""),"",MAX(1,IF(ISNUMBER(MATCH(LOWER($H353),{"open",""},0)),MIN(TODAY(),$G353),IF($I353="",$G353,$I353))-$F353))</f>
      </c>
      <c r="P353" s="12">
        <f>IF(OR($N353="",$M353="",$M353=0),"",$N353/$M353)</f>
      </c>
      <c r="Q353" s="12">
        <f>IF(OR($P353="",$O353=""),"",$P353*365/$O353)</f>
      </c>
      <c r="R353">
        <f>IF($N353="",0,$M353*$O353)</f>
      </c>
      <c r="S353">
        <f>IF(OR($A353="",LEFT($B353,5)="LEAPS"),0,$D353*100*$E353)</f>
      </c>
    </row>
    <row r="354" spans="1:19" x14ac:dyDescent="0.25">
      <c r="A354" s="13"/>
      <c r="B354" s="14"/>
      <c r="C354" s="15"/>
      <c r="D354" s="15"/>
      <c r="E354" s="16"/>
      <c r="F354" s="17"/>
      <c r="G354" s="17"/>
      <c r="H354" s="14"/>
      <c r="I354" s="17"/>
      <c r="J354" s="15"/>
      <c r="K354" s="15"/>
      <c r="L354" s="15"/>
      <c r="M354" s="9">
        <f>IF($A354="","",IF(LEFT($B354,5)="LEAPS",$D354,$C354)*100*$E354)</f>
      </c>
      <c r="N354" s="10">
        <f>IF(OR($A354="",ISNUMBER(MATCH(LOWER($H354),{"open",""},0))),"",IF(LEFT($B354,5)="LEAPS",-1,1)*($D354-IF(ISNUMBER(MATCH(LOWER($H354),{"closed"},0)),$J354,0))*100*$E354-$K354-$L354)</f>
      </c>
      <c r="O354" s="11">
        <f>IF(OR($A354="",$F354=""),"",MAX(1,IF(ISNUMBER(MATCH(LOWER($H354),{"open",""},0)),MIN(TODAY(),$G354),IF($I354="",$G354,$I354))-$F354))</f>
      </c>
      <c r="P354" s="12">
        <f>IF(OR($N354="",$M354="",$M354=0),"",$N354/$M354)</f>
      </c>
      <c r="Q354" s="12">
        <f>IF(OR($P354="",$O354=""),"",$P354*365/$O354)</f>
      </c>
      <c r="R354">
        <f>IF($N354="",0,$M354*$O354)</f>
      </c>
      <c r="S354">
        <f>IF(OR($A354="",LEFT($B354,5)="LEAPS"),0,$D354*100*$E354)</f>
      </c>
    </row>
    <row r="355" spans="1:19" x14ac:dyDescent="0.25">
      <c r="A355" s="13"/>
      <c r="B355" s="14"/>
      <c r="C355" s="15"/>
      <c r="D355" s="15"/>
      <c r="E355" s="16"/>
      <c r="F355" s="17"/>
      <c r="G355" s="17"/>
      <c r="H355" s="14"/>
      <c r="I355" s="17"/>
      <c r="J355" s="15"/>
      <c r="K355" s="15"/>
      <c r="L355" s="15"/>
      <c r="M355" s="9">
        <f>IF($A355="","",IF(LEFT($B355,5)="LEAPS",$D355,$C355)*100*$E355)</f>
      </c>
      <c r="N355" s="10">
        <f>IF(OR($A355="",ISNUMBER(MATCH(LOWER($H355),{"open",""},0))),"",IF(LEFT($B355,5)="LEAPS",-1,1)*($D355-IF(ISNUMBER(MATCH(LOWER($H355),{"closed"},0)),$J355,0))*100*$E355-$K355-$L355)</f>
      </c>
      <c r="O355" s="11">
        <f>IF(OR($A355="",$F355=""),"",MAX(1,IF(ISNUMBER(MATCH(LOWER($H355),{"open",""},0)),MIN(TODAY(),$G355),IF($I355="",$G355,$I355))-$F355))</f>
      </c>
      <c r="P355" s="12">
        <f>IF(OR($N355="",$M355="",$M355=0),"",$N355/$M355)</f>
      </c>
      <c r="Q355" s="12">
        <f>IF(OR($P355="",$O355=""),"",$P355*365/$O355)</f>
      </c>
      <c r="R355">
        <f>IF($N355="",0,$M355*$O355)</f>
      </c>
      <c r="S355">
        <f>IF(OR($A355="",LEFT($B355,5)="LEAPS"),0,$D355*100*$E355)</f>
      </c>
    </row>
    <row r="356" spans="1:19" x14ac:dyDescent="0.25">
      <c r="A356" s="13"/>
      <c r="B356" s="14"/>
      <c r="C356" s="15"/>
      <c r="D356" s="15"/>
      <c r="E356" s="16"/>
      <c r="F356" s="17"/>
      <c r="G356" s="17"/>
      <c r="H356" s="14"/>
      <c r="I356" s="17"/>
      <c r="J356" s="15"/>
      <c r="K356" s="15"/>
      <c r="L356" s="15"/>
      <c r="M356" s="9">
        <f>IF($A356="","",IF(LEFT($B356,5)="LEAPS",$D356,$C356)*100*$E356)</f>
      </c>
      <c r="N356" s="10">
        <f>IF(OR($A356="",ISNUMBER(MATCH(LOWER($H356),{"open",""},0))),"",IF(LEFT($B356,5)="LEAPS",-1,1)*($D356-IF(ISNUMBER(MATCH(LOWER($H356),{"closed"},0)),$J356,0))*100*$E356-$K356-$L356)</f>
      </c>
      <c r="O356" s="11">
        <f>IF(OR($A356="",$F356=""),"",MAX(1,IF(ISNUMBER(MATCH(LOWER($H356),{"open",""},0)),MIN(TODAY(),$G356),IF($I356="",$G356,$I356))-$F356))</f>
      </c>
      <c r="P356" s="12">
        <f>IF(OR($N356="",$M356="",$M356=0),"",$N356/$M356)</f>
      </c>
      <c r="Q356" s="12">
        <f>IF(OR($P356="",$O356=""),"",$P356*365/$O356)</f>
      </c>
      <c r="R356">
        <f>IF($N356="",0,$M356*$O356)</f>
      </c>
      <c r="S356">
        <f>IF(OR($A356="",LEFT($B356,5)="LEAPS"),0,$D356*100*$E356)</f>
      </c>
    </row>
    <row r="357" spans="1:19" x14ac:dyDescent="0.25">
      <c r="A357" s="13"/>
      <c r="B357" s="14"/>
      <c r="C357" s="15"/>
      <c r="D357" s="15"/>
      <c r="E357" s="16"/>
      <c r="F357" s="17"/>
      <c r="G357" s="17"/>
      <c r="H357" s="14"/>
      <c r="I357" s="17"/>
      <c r="J357" s="15"/>
      <c r="K357" s="15"/>
      <c r="L357" s="15"/>
      <c r="M357" s="9">
        <f>IF($A357="","",IF(LEFT($B357,5)="LEAPS",$D357,$C357)*100*$E357)</f>
      </c>
      <c r="N357" s="10">
        <f>IF(OR($A357="",ISNUMBER(MATCH(LOWER($H357),{"open",""},0))),"",IF(LEFT($B357,5)="LEAPS",-1,1)*($D357-IF(ISNUMBER(MATCH(LOWER($H357),{"closed"},0)),$J357,0))*100*$E357-$K357-$L357)</f>
      </c>
      <c r="O357" s="11">
        <f>IF(OR($A357="",$F357=""),"",MAX(1,IF(ISNUMBER(MATCH(LOWER($H357),{"open",""},0)),MIN(TODAY(),$G357),IF($I357="",$G357,$I357))-$F357))</f>
      </c>
      <c r="P357" s="12">
        <f>IF(OR($N357="",$M357="",$M357=0),"",$N357/$M357)</f>
      </c>
      <c r="Q357" s="12">
        <f>IF(OR($P357="",$O357=""),"",$P357*365/$O357)</f>
      </c>
      <c r="R357">
        <f>IF($N357="",0,$M357*$O357)</f>
      </c>
      <c r="S357">
        <f>IF(OR($A357="",LEFT($B357,5)="LEAPS"),0,$D357*100*$E357)</f>
      </c>
    </row>
    <row r="358" spans="1:19" x14ac:dyDescent="0.25">
      <c r="A358" s="13"/>
      <c r="B358" s="14"/>
      <c r="C358" s="15"/>
      <c r="D358" s="15"/>
      <c r="E358" s="16"/>
      <c r="F358" s="17"/>
      <c r="G358" s="17"/>
      <c r="H358" s="14"/>
      <c r="I358" s="17"/>
      <c r="J358" s="15"/>
      <c r="K358" s="15"/>
      <c r="L358" s="15"/>
      <c r="M358" s="9">
        <f>IF($A358="","",IF(LEFT($B358,5)="LEAPS",$D358,$C358)*100*$E358)</f>
      </c>
      <c r="N358" s="10">
        <f>IF(OR($A358="",ISNUMBER(MATCH(LOWER($H358),{"open",""},0))),"",IF(LEFT($B358,5)="LEAPS",-1,1)*($D358-IF(ISNUMBER(MATCH(LOWER($H358),{"closed"},0)),$J358,0))*100*$E358-$K358-$L358)</f>
      </c>
      <c r="O358" s="11">
        <f>IF(OR($A358="",$F358=""),"",MAX(1,IF(ISNUMBER(MATCH(LOWER($H358),{"open",""},0)),MIN(TODAY(),$G358),IF($I358="",$G358,$I358))-$F358))</f>
      </c>
      <c r="P358" s="12">
        <f>IF(OR($N358="",$M358="",$M358=0),"",$N358/$M358)</f>
      </c>
      <c r="Q358" s="12">
        <f>IF(OR($P358="",$O358=""),"",$P358*365/$O358)</f>
      </c>
      <c r="R358">
        <f>IF($N358="",0,$M358*$O358)</f>
      </c>
      <c r="S358">
        <f>IF(OR($A358="",LEFT($B358,5)="LEAPS"),0,$D358*100*$E358)</f>
      </c>
    </row>
    <row r="359" spans="1:19" x14ac:dyDescent="0.25">
      <c r="A359" s="13"/>
      <c r="B359" s="14"/>
      <c r="C359" s="15"/>
      <c r="D359" s="15"/>
      <c r="E359" s="16"/>
      <c r="F359" s="17"/>
      <c r="G359" s="17"/>
      <c r="H359" s="14"/>
      <c r="I359" s="17"/>
      <c r="J359" s="15"/>
      <c r="K359" s="15"/>
      <c r="L359" s="15"/>
      <c r="M359" s="9">
        <f>IF($A359="","",IF(LEFT($B359,5)="LEAPS",$D359,$C359)*100*$E359)</f>
      </c>
      <c r="N359" s="10">
        <f>IF(OR($A359="",ISNUMBER(MATCH(LOWER($H359),{"open",""},0))),"",IF(LEFT($B359,5)="LEAPS",-1,1)*($D359-IF(ISNUMBER(MATCH(LOWER($H359),{"closed"},0)),$J359,0))*100*$E359-$K359-$L359)</f>
      </c>
      <c r="O359" s="11">
        <f>IF(OR($A359="",$F359=""),"",MAX(1,IF(ISNUMBER(MATCH(LOWER($H359),{"open",""},0)),MIN(TODAY(),$G359),IF($I359="",$G359,$I359))-$F359))</f>
      </c>
      <c r="P359" s="12">
        <f>IF(OR($N359="",$M359="",$M359=0),"",$N359/$M359)</f>
      </c>
      <c r="Q359" s="12">
        <f>IF(OR($P359="",$O359=""),"",$P359*365/$O359)</f>
      </c>
      <c r="R359">
        <f>IF($N359="",0,$M359*$O359)</f>
      </c>
      <c r="S359">
        <f>IF(OR($A359="",LEFT($B359,5)="LEAPS"),0,$D359*100*$E359)</f>
      </c>
    </row>
    <row r="360" spans="1:19" x14ac:dyDescent="0.25">
      <c r="A360" s="13"/>
      <c r="B360" s="14"/>
      <c r="C360" s="15"/>
      <c r="D360" s="15"/>
      <c r="E360" s="16"/>
      <c r="F360" s="17"/>
      <c r="G360" s="17"/>
      <c r="H360" s="14"/>
      <c r="I360" s="17"/>
      <c r="J360" s="15"/>
      <c r="K360" s="15"/>
      <c r="L360" s="15"/>
      <c r="M360" s="9">
        <f>IF($A360="","",IF(LEFT($B360,5)="LEAPS",$D360,$C360)*100*$E360)</f>
      </c>
      <c r="N360" s="10">
        <f>IF(OR($A360="",ISNUMBER(MATCH(LOWER($H360),{"open",""},0))),"",IF(LEFT($B360,5)="LEAPS",-1,1)*($D360-IF(ISNUMBER(MATCH(LOWER($H360),{"closed"},0)),$J360,0))*100*$E360-$K360-$L360)</f>
      </c>
      <c r="O360" s="11">
        <f>IF(OR($A360="",$F360=""),"",MAX(1,IF(ISNUMBER(MATCH(LOWER($H360),{"open",""},0)),MIN(TODAY(),$G360),IF($I360="",$G360,$I360))-$F360))</f>
      </c>
      <c r="P360" s="12">
        <f>IF(OR($N360="",$M360="",$M360=0),"",$N360/$M360)</f>
      </c>
      <c r="Q360" s="12">
        <f>IF(OR($P360="",$O360=""),"",$P360*365/$O360)</f>
      </c>
      <c r="R360">
        <f>IF($N360="",0,$M360*$O360)</f>
      </c>
      <c r="S360">
        <f>IF(OR($A360="",LEFT($B360,5)="LEAPS"),0,$D360*100*$E360)</f>
      </c>
    </row>
    <row r="361" spans="1:19" x14ac:dyDescent="0.25">
      <c r="A361" s="13"/>
      <c r="B361" s="14"/>
      <c r="C361" s="15"/>
      <c r="D361" s="15"/>
      <c r="E361" s="16"/>
      <c r="F361" s="17"/>
      <c r="G361" s="17"/>
      <c r="H361" s="14"/>
      <c r="I361" s="17"/>
      <c r="J361" s="15"/>
      <c r="K361" s="15"/>
      <c r="L361" s="15"/>
      <c r="M361" s="9">
        <f>IF($A361="","",IF(LEFT($B361,5)="LEAPS",$D361,$C361)*100*$E361)</f>
      </c>
      <c r="N361" s="10">
        <f>IF(OR($A361="",ISNUMBER(MATCH(LOWER($H361),{"open",""},0))),"",IF(LEFT($B361,5)="LEAPS",-1,1)*($D361-IF(ISNUMBER(MATCH(LOWER($H361),{"closed"},0)),$J361,0))*100*$E361-$K361-$L361)</f>
      </c>
      <c r="O361" s="11">
        <f>IF(OR($A361="",$F361=""),"",MAX(1,IF(ISNUMBER(MATCH(LOWER($H361),{"open",""},0)),MIN(TODAY(),$G361),IF($I361="",$G361,$I361))-$F361))</f>
      </c>
      <c r="P361" s="12">
        <f>IF(OR($N361="",$M361="",$M361=0),"",$N361/$M361)</f>
      </c>
      <c r="Q361" s="12">
        <f>IF(OR($P361="",$O361=""),"",$P361*365/$O361)</f>
      </c>
      <c r="R361">
        <f>IF($N361="",0,$M361*$O361)</f>
      </c>
      <c r="S361">
        <f>IF(OR($A361="",LEFT($B361,5)="LEAPS"),0,$D361*100*$E361)</f>
      </c>
    </row>
    <row r="362" spans="1:19" x14ac:dyDescent="0.25">
      <c r="A362" s="13"/>
      <c r="B362" s="14"/>
      <c r="C362" s="15"/>
      <c r="D362" s="15"/>
      <c r="E362" s="16"/>
      <c r="F362" s="17"/>
      <c r="G362" s="17"/>
      <c r="H362" s="14"/>
      <c r="I362" s="17"/>
      <c r="J362" s="15"/>
      <c r="K362" s="15"/>
      <c r="L362" s="15"/>
      <c r="M362" s="9">
        <f>IF($A362="","",IF(LEFT($B362,5)="LEAPS",$D362,$C362)*100*$E362)</f>
      </c>
      <c r="N362" s="10">
        <f>IF(OR($A362="",ISNUMBER(MATCH(LOWER($H362),{"open",""},0))),"",IF(LEFT($B362,5)="LEAPS",-1,1)*($D362-IF(ISNUMBER(MATCH(LOWER($H362),{"closed"},0)),$J362,0))*100*$E362-$K362-$L362)</f>
      </c>
      <c r="O362" s="11">
        <f>IF(OR($A362="",$F362=""),"",MAX(1,IF(ISNUMBER(MATCH(LOWER($H362),{"open",""},0)),MIN(TODAY(),$G362),IF($I362="",$G362,$I362))-$F362))</f>
      </c>
      <c r="P362" s="12">
        <f>IF(OR($N362="",$M362="",$M362=0),"",$N362/$M362)</f>
      </c>
      <c r="Q362" s="12">
        <f>IF(OR($P362="",$O362=""),"",$P362*365/$O362)</f>
      </c>
      <c r="R362">
        <f>IF($N362="",0,$M362*$O362)</f>
      </c>
      <c r="S362">
        <f>IF(OR($A362="",LEFT($B362,5)="LEAPS"),0,$D362*100*$E362)</f>
      </c>
    </row>
    <row r="363" spans="1:19" x14ac:dyDescent="0.25">
      <c r="A363" s="13"/>
      <c r="B363" s="14"/>
      <c r="C363" s="15"/>
      <c r="D363" s="15"/>
      <c r="E363" s="16"/>
      <c r="F363" s="17"/>
      <c r="G363" s="17"/>
      <c r="H363" s="14"/>
      <c r="I363" s="17"/>
      <c r="J363" s="15"/>
      <c r="K363" s="15"/>
      <c r="L363" s="15"/>
      <c r="M363" s="9">
        <f>IF($A363="","",IF(LEFT($B363,5)="LEAPS",$D363,$C363)*100*$E363)</f>
      </c>
      <c r="N363" s="10">
        <f>IF(OR($A363="",ISNUMBER(MATCH(LOWER($H363),{"open",""},0))),"",IF(LEFT($B363,5)="LEAPS",-1,1)*($D363-IF(ISNUMBER(MATCH(LOWER($H363),{"closed"},0)),$J363,0))*100*$E363-$K363-$L363)</f>
      </c>
      <c r="O363" s="11">
        <f>IF(OR($A363="",$F363=""),"",MAX(1,IF(ISNUMBER(MATCH(LOWER($H363),{"open",""},0)),MIN(TODAY(),$G363),IF($I363="",$G363,$I363))-$F363))</f>
      </c>
      <c r="P363" s="12">
        <f>IF(OR($N363="",$M363="",$M363=0),"",$N363/$M363)</f>
      </c>
      <c r="Q363" s="12">
        <f>IF(OR($P363="",$O363=""),"",$P363*365/$O363)</f>
      </c>
      <c r="R363">
        <f>IF($N363="",0,$M363*$O363)</f>
      </c>
      <c r="S363">
        <f>IF(OR($A363="",LEFT($B363,5)="LEAPS"),0,$D363*100*$E363)</f>
      </c>
    </row>
    <row r="364" spans="1:19" x14ac:dyDescent="0.25">
      <c r="A364" s="13"/>
      <c r="B364" s="14"/>
      <c r="C364" s="15"/>
      <c r="D364" s="15"/>
      <c r="E364" s="16"/>
      <c r="F364" s="17"/>
      <c r="G364" s="17"/>
      <c r="H364" s="14"/>
      <c r="I364" s="17"/>
      <c r="J364" s="15"/>
      <c r="K364" s="15"/>
      <c r="L364" s="15"/>
      <c r="M364" s="9">
        <f>IF($A364="","",IF(LEFT($B364,5)="LEAPS",$D364,$C364)*100*$E364)</f>
      </c>
      <c r="N364" s="10">
        <f>IF(OR($A364="",ISNUMBER(MATCH(LOWER($H364),{"open",""},0))),"",IF(LEFT($B364,5)="LEAPS",-1,1)*($D364-IF(ISNUMBER(MATCH(LOWER($H364),{"closed"},0)),$J364,0))*100*$E364-$K364-$L364)</f>
      </c>
      <c r="O364" s="11">
        <f>IF(OR($A364="",$F364=""),"",MAX(1,IF(ISNUMBER(MATCH(LOWER($H364),{"open",""},0)),MIN(TODAY(),$G364),IF($I364="",$G364,$I364))-$F364))</f>
      </c>
      <c r="P364" s="12">
        <f>IF(OR($N364="",$M364="",$M364=0),"",$N364/$M364)</f>
      </c>
      <c r="Q364" s="12">
        <f>IF(OR($P364="",$O364=""),"",$P364*365/$O364)</f>
      </c>
      <c r="R364">
        <f>IF($N364="",0,$M364*$O364)</f>
      </c>
      <c r="S364">
        <f>IF(OR($A364="",LEFT($B364,5)="LEAPS"),0,$D364*100*$E364)</f>
      </c>
    </row>
    <row r="365" spans="1:19" x14ac:dyDescent="0.25">
      <c r="A365" s="13"/>
      <c r="B365" s="14"/>
      <c r="C365" s="15"/>
      <c r="D365" s="15"/>
      <c r="E365" s="16"/>
      <c r="F365" s="17"/>
      <c r="G365" s="17"/>
      <c r="H365" s="14"/>
      <c r="I365" s="17"/>
      <c r="J365" s="15"/>
      <c r="K365" s="15"/>
      <c r="L365" s="15"/>
      <c r="M365" s="9">
        <f>IF($A365="","",IF(LEFT($B365,5)="LEAPS",$D365,$C365)*100*$E365)</f>
      </c>
      <c r="N365" s="10">
        <f>IF(OR($A365="",ISNUMBER(MATCH(LOWER($H365),{"open",""},0))),"",IF(LEFT($B365,5)="LEAPS",-1,1)*($D365-IF(ISNUMBER(MATCH(LOWER($H365),{"closed"},0)),$J365,0))*100*$E365-$K365-$L365)</f>
      </c>
      <c r="O365" s="11">
        <f>IF(OR($A365="",$F365=""),"",MAX(1,IF(ISNUMBER(MATCH(LOWER($H365),{"open",""},0)),MIN(TODAY(),$G365),IF($I365="",$G365,$I365))-$F365))</f>
      </c>
      <c r="P365" s="12">
        <f>IF(OR($N365="",$M365="",$M365=0),"",$N365/$M365)</f>
      </c>
      <c r="Q365" s="12">
        <f>IF(OR($P365="",$O365=""),"",$P365*365/$O365)</f>
      </c>
      <c r="R365">
        <f>IF($N365="",0,$M365*$O365)</f>
      </c>
      <c r="S365">
        <f>IF(OR($A365="",LEFT($B365,5)="LEAPS"),0,$D365*100*$E365)</f>
      </c>
    </row>
    <row r="366" spans="1:19" x14ac:dyDescent="0.25">
      <c r="A366" s="13"/>
      <c r="B366" s="14"/>
      <c r="C366" s="15"/>
      <c r="D366" s="15"/>
      <c r="E366" s="16"/>
      <c r="F366" s="17"/>
      <c r="G366" s="17"/>
      <c r="H366" s="14"/>
      <c r="I366" s="17"/>
      <c r="J366" s="15"/>
      <c r="K366" s="15"/>
      <c r="L366" s="15"/>
      <c r="M366" s="9">
        <f>IF($A366="","",IF(LEFT($B366,5)="LEAPS",$D366,$C366)*100*$E366)</f>
      </c>
      <c r="N366" s="10">
        <f>IF(OR($A366="",ISNUMBER(MATCH(LOWER($H366),{"open",""},0))),"",IF(LEFT($B366,5)="LEAPS",-1,1)*($D366-IF(ISNUMBER(MATCH(LOWER($H366),{"closed"},0)),$J366,0))*100*$E366-$K366-$L366)</f>
      </c>
      <c r="O366" s="11">
        <f>IF(OR($A366="",$F366=""),"",MAX(1,IF(ISNUMBER(MATCH(LOWER($H366),{"open",""},0)),MIN(TODAY(),$G366),IF($I366="",$G366,$I366))-$F366))</f>
      </c>
      <c r="P366" s="12">
        <f>IF(OR($N366="",$M366="",$M366=0),"",$N366/$M366)</f>
      </c>
      <c r="Q366" s="12">
        <f>IF(OR($P366="",$O366=""),"",$P366*365/$O366)</f>
      </c>
      <c r="R366">
        <f>IF($N366="",0,$M366*$O366)</f>
      </c>
      <c r="S366">
        <f>IF(OR($A366="",LEFT($B366,5)="LEAPS"),0,$D366*100*$E366)</f>
      </c>
    </row>
    <row r="367" spans="1:19" x14ac:dyDescent="0.25">
      <c r="A367" s="13"/>
      <c r="B367" s="14"/>
      <c r="C367" s="15"/>
      <c r="D367" s="15"/>
      <c r="E367" s="16"/>
      <c r="F367" s="17"/>
      <c r="G367" s="17"/>
      <c r="H367" s="14"/>
      <c r="I367" s="17"/>
      <c r="J367" s="15"/>
      <c r="K367" s="15"/>
      <c r="L367" s="15"/>
      <c r="M367" s="9">
        <f>IF($A367="","",IF(LEFT($B367,5)="LEAPS",$D367,$C367)*100*$E367)</f>
      </c>
      <c r="N367" s="10">
        <f>IF(OR($A367="",ISNUMBER(MATCH(LOWER($H367),{"open",""},0))),"",IF(LEFT($B367,5)="LEAPS",-1,1)*($D367-IF(ISNUMBER(MATCH(LOWER($H367),{"closed"},0)),$J367,0))*100*$E367-$K367-$L367)</f>
      </c>
      <c r="O367" s="11">
        <f>IF(OR($A367="",$F367=""),"",MAX(1,IF(ISNUMBER(MATCH(LOWER($H367),{"open",""},0)),MIN(TODAY(),$G367),IF($I367="",$G367,$I367))-$F367))</f>
      </c>
      <c r="P367" s="12">
        <f>IF(OR($N367="",$M367="",$M367=0),"",$N367/$M367)</f>
      </c>
      <c r="Q367" s="12">
        <f>IF(OR($P367="",$O367=""),"",$P367*365/$O367)</f>
      </c>
      <c r="R367">
        <f>IF($N367="",0,$M367*$O367)</f>
      </c>
      <c r="S367">
        <f>IF(OR($A367="",LEFT($B367,5)="LEAPS"),0,$D367*100*$E367)</f>
      </c>
    </row>
    <row r="368" spans="1:19" x14ac:dyDescent="0.25">
      <c r="A368" s="13"/>
      <c r="B368" s="14"/>
      <c r="C368" s="15"/>
      <c r="D368" s="15"/>
      <c r="E368" s="16"/>
      <c r="F368" s="17"/>
      <c r="G368" s="17"/>
      <c r="H368" s="14"/>
      <c r="I368" s="17"/>
      <c r="J368" s="15"/>
      <c r="K368" s="15"/>
      <c r="L368" s="15"/>
      <c r="M368" s="9">
        <f>IF($A368="","",IF(LEFT($B368,5)="LEAPS",$D368,$C368)*100*$E368)</f>
      </c>
      <c r="N368" s="10">
        <f>IF(OR($A368="",ISNUMBER(MATCH(LOWER($H368),{"open",""},0))),"",IF(LEFT($B368,5)="LEAPS",-1,1)*($D368-IF(ISNUMBER(MATCH(LOWER($H368),{"closed"},0)),$J368,0))*100*$E368-$K368-$L368)</f>
      </c>
      <c r="O368" s="11">
        <f>IF(OR($A368="",$F368=""),"",MAX(1,IF(ISNUMBER(MATCH(LOWER($H368),{"open",""},0)),MIN(TODAY(),$G368),IF($I368="",$G368,$I368))-$F368))</f>
      </c>
      <c r="P368" s="12">
        <f>IF(OR($N368="",$M368="",$M368=0),"",$N368/$M368)</f>
      </c>
      <c r="Q368" s="12">
        <f>IF(OR($P368="",$O368=""),"",$P368*365/$O368)</f>
      </c>
      <c r="R368">
        <f>IF($N368="",0,$M368*$O368)</f>
      </c>
      <c r="S368">
        <f>IF(OR($A368="",LEFT($B368,5)="LEAPS"),0,$D368*100*$E368)</f>
      </c>
    </row>
    <row r="369" spans="1:19" x14ac:dyDescent="0.25">
      <c r="A369" s="13"/>
      <c r="B369" s="14"/>
      <c r="C369" s="15"/>
      <c r="D369" s="15"/>
      <c r="E369" s="16"/>
      <c r="F369" s="17"/>
      <c r="G369" s="17"/>
      <c r="H369" s="14"/>
      <c r="I369" s="17"/>
      <c r="J369" s="15"/>
      <c r="K369" s="15"/>
      <c r="L369" s="15"/>
      <c r="M369" s="9">
        <f>IF($A369="","",IF(LEFT($B369,5)="LEAPS",$D369,$C369)*100*$E369)</f>
      </c>
      <c r="N369" s="10">
        <f>IF(OR($A369="",ISNUMBER(MATCH(LOWER($H369),{"open",""},0))),"",IF(LEFT($B369,5)="LEAPS",-1,1)*($D369-IF(ISNUMBER(MATCH(LOWER($H369),{"closed"},0)),$J369,0))*100*$E369-$K369-$L369)</f>
      </c>
      <c r="O369" s="11">
        <f>IF(OR($A369="",$F369=""),"",MAX(1,IF(ISNUMBER(MATCH(LOWER($H369),{"open",""},0)),MIN(TODAY(),$G369),IF($I369="",$G369,$I369))-$F369))</f>
      </c>
      <c r="P369" s="12">
        <f>IF(OR($N369="",$M369="",$M369=0),"",$N369/$M369)</f>
      </c>
      <c r="Q369" s="12">
        <f>IF(OR($P369="",$O369=""),"",$P369*365/$O369)</f>
      </c>
      <c r="R369">
        <f>IF($N369="",0,$M369*$O369)</f>
      </c>
      <c r="S369">
        <f>IF(OR($A369="",LEFT($B369,5)="LEAPS"),0,$D369*100*$E369)</f>
      </c>
    </row>
    <row r="370" spans="1:19" x14ac:dyDescent="0.25">
      <c r="A370" s="13"/>
      <c r="B370" s="14"/>
      <c r="C370" s="15"/>
      <c r="D370" s="15"/>
      <c r="E370" s="16"/>
      <c r="F370" s="17"/>
      <c r="G370" s="17"/>
      <c r="H370" s="14"/>
      <c r="I370" s="17"/>
      <c r="J370" s="15"/>
      <c r="K370" s="15"/>
      <c r="L370" s="15"/>
      <c r="M370" s="9">
        <f>IF($A370="","",IF(LEFT($B370,5)="LEAPS",$D370,$C370)*100*$E370)</f>
      </c>
      <c r="N370" s="10">
        <f>IF(OR($A370="",ISNUMBER(MATCH(LOWER($H370),{"open",""},0))),"",IF(LEFT($B370,5)="LEAPS",-1,1)*($D370-IF(ISNUMBER(MATCH(LOWER($H370),{"closed"},0)),$J370,0))*100*$E370-$K370-$L370)</f>
      </c>
      <c r="O370" s="11">
        <f>IF(OR($A370="",$F370=""),"",MAX(1,IF(ISNUMBER(MATCH(LOWER($H370),{"open",""},0)),MIN(TODAY(),$G370),IF($I370="",$G370,$I370))-$F370))</f>
      </c>
      <c r="P370" s="12">
        <f>IF(OR($N370="",$M370="",$M370=0),"",$N370/$M370)</f>
      </c>
      <c r="Q370" s="12">
        <f>IF(OR($P370="",$O370=""),"",$P370*365/$O370)</f>
      </c>
      <c r="R370">
        <f>IF($N370="",0,$M370*$O370)</f>
      </c>
      <c r="S370">
        <f>IF(OR($A370="",LEFT($B370,5)="LEAPS"),0,$D370*100*$E370)</f>
      </c>
    </row>
    <row r="371" spans="1:19" x14ac:dyDescent="0.25">
      <c r="A371" s="13"/>
      <c r="B371" s="14"/>
      <c r="C371" s="15"/>
      <c r="D371" s="15"/>
      <c r="E371" s="16"/>
      <c r="F371" s="17"/>
      <c r="G371" s="17"/>
      <c r="H371" s="14"/>
      <c r="I371" s="17"/>
      <c r="J371" s="15"/>
      <c r="K371" s="15"/>
      <c r="L371" s="15"/>
      <c r="M371" s="9">
        <f>IF($A371="","",IF(LEFT($B371,5)="LEAPS",$D371,$C371)*100*$E371)</f>
      </c>
      <c r="N371" s="10">
        <f>IF(OR($A371="",ISNUMBER(MATCH(LOWER($H371),{"open",""},0))),"",IF(LEFT($B371,5)="LEAPS",-1,1)*($D371-IF(ISNUMBER(MATCH(LOWER($H371),{"closed"},0)),$J371,0))*100*$E371-$K371-$L371)</f>
      </c>
      <c r="O371" s="11">
        <f>IF(OR($A371="",$F371=""),"",MAX(1,IF(ISNUMBER(MATCH(LOWER($H371),{"open",""},0)),MIN(TODAY(),$G371),IF($I371="",$G371,$I371))-$F371))</f>
      </c>
      <c r="P371" s="12">
        <f>IF(OR($N371="",$M371="",$M371=0),"",$N371/$M371)</f>
      </c>
      <c r="Q371" s="12">
        <f>IF(OR($P371="",$O371=""),"",$P371*365/$O371)</f>
      </c>
      <c r="R371">
        <f>IF($N371="",0,$M371*$O371)</f>
      </c>
      <c r="S371">
        <f>IF(OR($A371="",LEFT($B371,5)="LEAPS"),0,$D371*100*$E371)</f>
      </c>
    </row>
    <row r="372" spans="1:19" x14ac:dyDescent="0.25">
      <c r="A372" s="13"/>
      <c r="B372" s="14"/>
      <c r="C372" s="15"/>
      <c r="D372" s="15"/>
      <c r="E372" s="16"/>
      <c r="F372" s="17"/>
      <c r="G372" s="17"/>
      <c r="H372" s="14"/>
      <c r="I372" s="17"/>
      <c r="J372" s="15"/>
      <c r="K372" s="15"/>
      <c r="L372" s="15"/>
      <c r="M372" s="9">
        <f>IF($A372="","",IF(LEFT($B372,5)="LEAPS",$D372,$C372)*100*$E372)</f>
      </c>
      <c r="N372" s="10">
        <f>IF(OR($A372="",ISNUMBER(MATCH(LOWER($H372),{"open",""},0))),"",IF(LEFT($B372,5)="LEAPS",-1,1)*($D372-IF(ISNUMBER(MATCH(LOWER($H372),{"closed"},0)),$J372,0))*100*$E372-$K372-$L372)</f>
      </c>
      <c r="O372" s="11">
        <f>IF(OR($A372="",$F372=""),"",MAX(1,IF(ISNUMBER(MATCH(LOWER($H372),{"open",""},0)),MIN(TODAY(),$G372),IF($I372="",$G372,$I372))-$F372))</f>
      </c>
      <c r="P372" s="12">
        <f>IF(OR($N372="",$M372="",$M372=0),"",$N372/$M372)</f>
      </c>
      <c r="Q372" s="12">
        <f>IF(OR($P372="",$O372=""),"",$P372*365/$O372)</f>
      </c>
      <c r="R372">
        <f>IF($N372="",0,$M372*$O372)</f>
      </c>
      <c r="S372">
        <f>IF(OR($A372="",LEFT($B372,5)="LEAPS"),0,$D372*100*$E372)</f>
      </c>
    </row>
    <row r="373" spans="1:19" x14ac:dyDescent="0.25">
      <c r="A373" s="13"/>
      <c r="B373" s="14"/>
      <c r="C373" s="15"/>
      <c r="D373" s="15"/>
      <c r="E373" s="16"/>
      <c r="F373" s="17"/>
      <c r="G373" s="17"/>
      <c r="H373" s="14"/>
      <c r="I373" s="17"/>
      <c r="J373" s="15"/>
      <c r="K373" s="15"/>
      <c r="L373" s="15"/>
      <c r="M373" s="9">
        <f>IF($A373="","",IF(LEFT($B373,5)="LEAPS",$D373,$C373)*100*$E373)</f>
      </c>
      <c r="N373" s="10">
        <f>IF(OR($A373="",ISNUMBER(MATCH(LOWER($H373),{"open",""},0))),"",IF(LEFT($B373,5)="LEAPS",-1,1)*($D373-IF(ISNUMBER(MATCH(LOWER($H373),{"closed"},0)),$J373,0))*100*$E373-$K373-$L373)</f>
      </c>
      <c r="O373" s="11">
        <f>IF(OR($A373="",$F373=""),"",MAX(1,IF(ISNUMBER(MATCH(LOWER($H373),{"open",""},0)),MIN(TODAY(),$G373),IF($I373="",$G373,$I373))-$F373))</f>
      </c>
      <c r="P373" s="12">
        <f>IF(OR($N373="",$M373="",$M373=0),"",$N373/$M373)</f>
      </c>
      <c r="Q373" s="12">
        <f>IF(OR($P373="",$O373=""),"",$P373*365/$O373)</f>
      </c>
      <c r="R373">
        <f>IF($N373="",0,$M373*$O373)</f>
      </c>
      <c r="S373">
        <f>IF(OR($A373="",LEFT($B373,5)="LEAPS"),0,$D373*100*$E373)</f>
      </c>
    </row>
    <row r="374" spans="1:19" x14ac:dyDescent="0.25">
      <c r="A374" s="13"/>
      <c r="B374" s="14"/>
      <c r="C374" s="15"/>
      <c r="D374" s="15"/>
      <c r="E374" s="16"/>
      <c r="F374" s="17"/>
      <c r="G374" s="17"/>
      <c r="H374" s="14"/>
      <c r="I374" s="17"/>
      <c r="J374" s="15"/>
      <c r="K374" s="15"/>
      <c r="L374" s="15"/>
      <c r="M374" s="9">
        <f>IF($A374="","",IF(LEFT($B374,5)="LEAPS",$D374,$C374)*100*$E374)</f>
      </c>
      <c r="N374" s="10">
        <f>IF(OR($A374="",ISNUMBER(MATCH(LOWER($H374),{"open",""},0))),"",IF(LEFT($B374,5)="LEAPS",-1,1)*($D374-IF(ISNUMBER(MATCH(LOWER($H374),{"closed"},0)),$J374,0))*100*$E374-$K374-$L374)</f>
      </c>
      <c r="O374" s="11">
        <f>IF(OR($A374="",$F374=""),"",MAX(1,IF(ISNUMBER(MATCH(LOWER($H374),{"open",""},0)),MIN(TODAY(),$G374),IF($I374="",$G374,$I374))-$F374))</f>
      </c>
      <c r="P374" s="12">
        <f>IF(OR($N374="",$M374="",$M374=0),"",$N374/$M374)</f>
      </c>
      <c r="Q374" s="12">
        <f>IF(OR($P374="",$O374=""),"",$P374*365/$O374)</f>
      </c>
      <c r="R374">
        <f>IF($N374="",0,$M374*$O374)</f>
      </c>
      <c r="S374">
        <f>IF(OR($A374="",LEFT($B374,5)="LEAPS"),0,$D374*100*$E374)</f>
      </c>
    </row>
    <row r="375" spans="1:19" x14ac:dyDescent="0.25">
      <c r="A375" s="13"/>
      <c r="B375" s="14"/>
      <c r="C375" s="15"/>
      <c r="D375" s="15"/>
      <c r="E375" s="16"/>
      <c r="F375" s="17"/>
      <c r="G375" s="17"/>
      <c r="H375" s="14"/>
      <c r="I375" s="17"/>
      <c r="J375" s="15"/>
      <c r="K375" s="15"/>
      <c r="L375" s="15"/>
      <c r="M375" s="9">
        <f>IF($A375="","",IF(LEFT($B375,5)="LEAPS",$D375,$C375)*100*$E375)</f>
      </c>
      <c r="N375" s="10">
        <f>IF(OR($A375="",ISNUMBER(MATCH(LOWER($H375),{"open",""},0))),"",IF(LEFT($B375,5)="LEAPS",-1,1)*($D375-IF(ISNUMBER(MATCH(LOWER($H375),{"closed"},0)),$J375,0))*100*$E375-$K375-$L375)</f>
      </c>
      <c r="O375" s="11">
        <f>IF(OR($A375="",$F375=""),"",MAX(1,IF(ISNUMBER(MATCH(LOWER($H375),{"open",""},0)),MIN(TODAY(),$G375),IF($I375="",$G375,$I375))-$F375))</f>
      </c>
      <c r="P375" s="12">
        <f>IF(OR($N375="",$M375="",$M375=0),"",$N375/$M375)</f>
      </c>
      <c r="Q375" s="12">
        <f>IF(OR($P375="",$O375=""),"",$P375*365/$O375)</f>
      </c>
      <c r="R375">
        <f>IF($N375="",0,$M375*$O375)</f>
      </c>
      <c r="S375">
        <f>IF(OR($A375="",LEFT($B375,5)="LEAPS"),0,$D375*100*$E375)</f>
      </c>
    </row>
    <row r="376" spans="1:19" x14ac:dyDescent="0.25">
      <c r="A376" s="13"/>
      <c r="B376" s="14"/>
      <c r="C376" s="15"/>
      <c r="D376" s="15"/>
      <c r="E376" s="16"/>
      <c r="F376" s="17"/>
      <c r="G376" s="17"/>
      <c r="H376" s="14"/>
      <c r="I376" s="17"/>
      <c r="J376" s="15"/>
      <c r="K376" s="15"/>
      <c r="L376" s="15"/>
      <c r="M376" s="9">
        <f>IF($A376="","",IF(LEFT($B376,5)="LEAPS",$D376,$C376)*100*$E376)</f>
      </c>
      <c r="N376" s="10">
        <f>IF(OR($A376="",ISNUMBER(MATCH(LOWER($H376),{"open",""},0))),"",IF(LEFT($B376,5)="LEAPS",-1,1)*($D376-IF(ISNUMBER(MATCH(LOWER($H376),{"closed"},0)),$J376,0))*100*$E376-$K376-$L376)</f>
      </c>
      <c r="O376" s="11">
        <f>IF(OR($A376="",$F376=""),"",MAX(1,IF(ISNUMBER(MATCH(LOWER($H376),{"open",""},0)),MIN(TODAY(),$G376),IF($I376="",$G376,$I376))-$F376))</f>
      </c>
      <c r="P376" s="12">
        <f>IF(OR($N376="",$M376="",$M376=0),"",$N376/$M376)</f>
      </c>
      <c r="Q376" s="12">
        <f>IF(OR($P376="",$O376=""),"",$P376*365/$O376)</f>
      </c>
      <c r="R376">
        <f>IF($N376="",0,$M376*$O376)</f>
      </c>
      <c r="S376">
        <f>IF(OR($A376="",LEFT($B376,5)="LEAPS"),0,$D376*100*$E376)</f>
      </c>
    </row>
    <row r="377" spans="1:19" x14ac:dyDescent="0.25">
      <c r="A377" s="13"/>
      <c r="B377" s="14"/>
      <c r="C377" s="15"/>
      <c r="D377" s="15"/>
      <c r="E377" s="16"/>
      <c r="F377" s="17"/>
      <c r="G377" s="17"/>
      <c r="H377" s="14"/>
      <c r="I377" s="17"/>
      <c r="J377" s="15"/>
      <c r="K377" s="15"/>
      <c r="L377" s="15"/>
      <c r="M377" s="9">
        <f>IF($A377="","",IF(LEFT($B377,5)="LEAPS",$D377,$C377)*100*$E377)</f>
      </c>
      <c r="N377" s="10">
        <f>IF(OR($A377="",ISNUMBER(MATCH(LOWER($H377),{"open",""},0))),"",IF(LEFT($B377,5)="LEAPS",-1,1)*($D377-IF(ISNUMBER(MATCH(LOWER($H377),{"closed"},0)),$J377,0))*100*$E377-$K377-$L377)</f>
      </c>
      <c r="O377" s="11">
        <f>IF(OR($A377="",$F377=""),"",MAX(1,IF(ISNUMBER(MATCH(LOWER($H377),{"open",""},0)),MIN(TODAY(),$G377),IF($I377="",$G377,$I377))-$F377))</f>
      </c>
      <c r="P377" s="12">
        <f>IF(OR($N377="",$M377="",$M377=0),"",$N377/$M377)</f>
      </c>
      <c r="Q377" s="12">
        <f>IF(OR($P377="",$O377=""),"",$P377*365/$O377)</f>
      </c>
      <c r="R377">
        <f>IF($N377="",0,$M377*$O377)</f>
      </c>
      <c r="S377">
        <f>IF(OR($A377="",LEFT($B377,5)="LEAPS"),0,$D377*100*$E377)</f>
      </c>
    </row>
    <row r="378" spans="1:19" x14ac:dyDescent="0.25">
      <c r="A378" s="13"/>
      <c r="B378" s="14"/>
      <c r="C378" s="15"/>
      <c r="D378" s="15"/>
      <c r="E378" s="16"/>
      <c r="F378" s="17"/>
      <c r="G378" s="17"/>
      <c r="H378" s="14"/>
      <c r="I378" s="17"/>
      <c r="J378" s="15"/>
      <c r="K378" s="15"/>
      <c r="L378" s="15"/>
      <c r="M378" s="9">
        <f>IF($A378="","",IF(LEFT($B378,5)="LEAPS",$D378,$C378)*100*$E378)</f>
      </c>
      <c r="N378" s="10">
        <f>IF(OR($A378="",ISNUMBER(MATCH(LOWER($H378),{"open",""},0))),"",IF(LEFT($B378,5)="LEAPS",-1,1)*($D378-IF(ISNUMBER(MATCH(LOWER($H378),{"closed"},0)),$J378,0))*100*$E378-$K378-$L378)</f>
      </c>
      <c r="O378" s="11">
        <f>IF(OR($A378="",$F378=""),"",MAX(1,IF(ISNUMBER(MATCH(LOWER($H378),{"open",""},0)),MIN(TODAY(),$G378),IF($I378="",$G378,$I378))-$F378))</f>
      </c>
      <c r="P378" s="12">
        <f>IF(OR($N378="",$M378="",$M378=0),"",$N378/$M378)</f>
      </c>
      <c r="Q378" s="12">
        <f>IF(OR($P378="",$O378=""),"",$P378*365/$O378)</f>
      </c>
      <c r="R378">
        <f>IF($N378="",0,$M378*$O378)</f>
      </c>
      <c r="S378">
        <f>IF(OR($A378="",LEFT($B378,5)="LEAPS"),0,$D378*100*$E378)</f>
      </c>
    </row>
    <row r="379" spans="1:19" x14ac:dyDescent="0.25">
      <c r="A379" s="13"/>
      <c r="B379" s="14"/>
      <c r="C379" s="15"/>
      <c r="D379" s="15"/>
      <c r="E379" s="16"/>
      <c r="F379" s="17"/>
      <c r="G379" s="17"/>
      <c r="H379" s="14"/>
      <c r="I379" s="17"/>
      <c r="J379" s="15"/>
      <c r="K379" s="15"/>
      <c r="L379" s="15"/>
      <c r="M379" s="9">
        <f>IF($A379="","",IF(LEFT($B379,5)="LEAPS",$D379,$C379)*100*$E379)</f>
      </c>
      <c r="N379" s="10">
        <f>IF(OR($A379="",ISNUMBER(MATCH(LOWER($H379),{"open",""},0))),"",IF(LEFT($B379,5)="LEAPS",-1,1)*($D379-IF(ISNUMBER(MATCH(LOWER($H379),{"closed"},0)),$J379,0))*100*$E379-$K379-$L379)</f>
      </c>
      <c r="O379" s="11">
        <f>IF(OR($A379="",$F379=""),"",MAX(1,IF(ISNUMBER(MATCH(LOWER($H379),{"open",""},0)),MIN(TODAY(),$G379),IF($I379="",$G379,$I379))-$F379))</f>
      </c>
      <c r="P379" s="12">
        <f>IF(OR($N379="",$M379="",$M379=0),"",$N379/$M379)</f>
      </c>
      <c r="Q379" s="12">
        <f>IF(OR($P379="",$O379=""),"",$P379*365/$O379)</f>
      </c>
      <c r="R379">
        <f>IF($N379="",0,$M379*$O379)</f>
      </c>
      <c r="S379">
        <f>IF(OR($A379="",LEFT($B379,5)="LEAPS"),0,$D379*100*$E379)</f>
      </c>
    </row>
    <row r="380" spans="1:19" x14ac:dyDescent="0.25">
      <c r="A380" s="13"/>
      <c r="B380" s="14"/>
      <c r="C380" s="15"/>
      <c r="D380" s="15"/>
      <c r="E380" s="16"/>
      <c r="F380" s="17"/>
      <c r="G380" s="17"/>
      <c r="H380" s="14"/>
      <c r="I380" s="17"/>
      <c r="J380" s="15"/>
      <c r="K380" s="15"/>
      <c r="L380" s="15"/>
      <c r="M380" s="9">
        <f>IF($A380="","",IF(LEFT($B380,5)="LEAPS",$D380,$C380)*100*$E380)</f>
      </c>
      <c r="N380" s="10">
        <f>IF(OR($A380="",ISNUMBER(MATCH(LOWER($H380),{"open",""},0))),"",IF(LEFT($B380,5)="LEAPS",-1,1)*($D380-IF(ISNUMBER(MATCH(LOWER($H380),{"closed"},0)),$J380,0))*100*$E380-$K380-$L380)</f>
      </c>
      <c r="O380" s="11">
        <f>IF(OR($A380="",$F380=""),"",MAX(1,IF(ISNUMBER(MATCH(LOWER($H380),{"open",""},0)),MIN(TODAY(),$G380),IF($I380="",$G380,$I380))-$F380))</f>
      </c>
      <c r="P380" s="12">
        <f>IF(OR($N380="",$M380="",$M380=0),"",$N380/$M380)</f>
      </c>
      <c r="Q380" s="12">
        <f>IF(OR($P380="",$O380=""),"",$P380*365/$O380)</f>
      </c>
      <c r="R380">
        <f>IF($N380="",0,$M380*$O380)</f>
      </c>
      <c r="S380">
        <f>IF(OR($A380="",LEFT($B380,5)="LEAPS"),0,$D380*100*$E380)</f>
      </c>
    </row>
    <row r="381" spans="1:19" x14ac:dyDescent="0.25">
      <c r="A381" s="13"/>
      <c r="B381" s="14"/>
      <c r="C381" s="15"/>
      <c r="D381" s="15"/>
      <c r="E381" s="16"/>
      <c r="F381" s="17"/>
      <c r="G381" s="17"/>
      <c r="H381" s="14"/>
      <c r="I381" s="17"/>
      <c r="J381" s="15"/>
      <c r="K381" s="15"/>
      <c r="L381" s="15"/>
      <c r="M381" s="9">
        <f>IF($A381="","",IF(LEFT($B381,5)="LEAPS",$D381,$C381)*100*$E381)</f>
      </c>
      <c r="N381" s="10">
        <f>IF(OR($A381="",ISNUMBER(MATCH(LOWER($H381),{"open",""},0))),"",IF(LEFT($B381,5)="LEAPS",-1,1)*($D381-IF(ISNUMBER(MATCH(LOWER($H381),{"closed"},0)),$J381,0))*100*$E381-$K381-$L381)</f>
      </c>
      <c r="O381" s="11">
        <f>IF(OR($A381="",$F381=""),"",MAX(1,IF(ISNUMBER(MATCH(LOWER($H381),{"open",""},0)),MIN(TODAY(),$G381),IF($I381="",$G381,$I381))-$F381))</f>
      </c>
      <c r="P381" s="12">
        <f>IF(OR($N381="",$M381="",$M381=0),"",$N381/$M381)</f>
      </c>
      <c r="Q381" s="12">
        <f>IF(OR($P381="",$O381=""),"",$P381*365/$O381)</f>
      </c>
      <c r="R381">
        <f>IF($N381="",0,$M381*$O381)</f>
      </c>
      <c r="S381">
        <f>IF(OR($A381="",LEFT($B381,5)="LEAPS"),0,$D381*100*$E381)</f>
      </c>
    </row>
    <row r="382" spans="1:19" x14ac:dyDescent="0.25">
      <c r="A382" s="13"/>
      <c r="B382" s="14"/>
      <c r="C382" s="15"/>
      <c r="D382" s="15"/>
      <c r="E382" s="16"/>
      <c r="F382" s="17"/>
      <c r="G382" s="17"/>
      <c r="H382" s="14"/>
      <c r="I382" s="17"/>
      <c r="J382" s="15"/>
      <c r="K382" s="15"/>
      <c r="L382" s="15"/>
      <c r="M382" s="9">
        <f>IF($A382="","",IF(LEFT($B382,5)="LEAPS",$D382,$C382)*100*$E382)</f>
      </c>
      <c r="N382" s="10">
        <f>IF(OR($A382="",ISNUMBER(MATCH(LOWER($H382),{"open",""},0))),"",IF(LEFT($B382,5)="LEAPS",-1,1)*($D382-IF(ISNUMBER(MATCH(LOWER($H382),{"closed"},0)),$J382,0))*100*$E382-$K382-$L382)</f>
      </c>
      <c r="O382" s="11">
        <f>IF(OR($A382="",$F382=""),"",MAX(1,IF(ISNUMBER(MATCH(LOWER($H382),{"open",""},0)),MIN(TODAY(),$G382),IF($I382="",$G382,$I382))-$F382))</f>
      </c>
      <c r="P382" s="12">
        <f>IF(OR($N382="",$M382="",$M382=0),"",$N382/$M382)</f>
      </c>
      <c r="Q382" s="12">
        <f>IF(OR($P382="",$O382=""),"",$P382*365/$O382)</f>
      </c>
      <c r="R382">
        <f>IF($N382="",0,$M382*$O382)</f>
      </c>
      <c r="S382">
        <f>IF(OR($A382="",LEFT($B382,5)="LEAPS"),0,$D382*100*$E382)</f>
      </c>
    </row>
    <row r="383" spans="1:19" x14ac:dyDescent="0.25">
      <c r="A383" s="13"/>
      <c r="B383" s="14"/>
      <c r="C383" s="15"/>
      <c r="D383" s="15"/>
      <c r="E383" s="16"/>
      <c r="F383" s="17"/>
      <c r="G383" s="17"/>
      <c r="H383" s="14"/>
      <c r="I383" s="17"/>
      <c r="J383" s="15"/>
      <c r="K383" s="15"/>
      <c r="L383" s="15"/>
      <c r="M383" s="9">
        <f>IF($A383="","",IF(LEFT($B383,5)="LEAPS",$D383,$C383)*100*$E383)</f>
      </c>
      <c r="N383" s="10">
        <f>IF(OR($A383="",ISNUMBER(MATCH(LOWER($H383),{"open",""},0))),"",IF(LEFT($B383,5)="LEAPS",-1,1)*($D383-IF(ISNUMBER(MATCH(LOWER($H383),{"closed"},0)),$J383,0))*100*$E383-$K383-$L383)</f>
      </c>
      <c r="O383" s="11">
        <f>IF(OR($A383="",$F383=""),"",MAX(1,IF(ISNUMBER(MATCH(LOWER($H383),{"open",""},0)),MIN(TODAY(),$G383),IF($I383="",$G383,$I383))-$F383))</f>
      </c>
      <c r="P383" s="12">
        <f>IF(OR($N383="",$M383="",$M383=0),"",$N383/$M383)</f>
      </c>
      <c r="Q383" s="12">
        <f>IF(OR($P383="",$O383=""),"",$P383*365/$O383)</f>
      </c>
      <c r="R383">
        <f>IF($N383="",0,$M383*$O383)</f>
      </c>
      <c r="S383">
        <f>IF(OR($A383="",LEFT($B383,5)="LEAPS"),0,$D383*100*$E383)</f>
      </c>
    </row>
    <row r="384" spans="1:19" x14ac:dyDescent="0.25">
      <c r="A384" s="13"/>
      <c r="B384" s="14"/>
      <c r="C384" s="15"/>
      <c r="D384" s="15"/>
      <c r="E384" s="16"/>
      <c r="F384" s="17"/>
      <c r="G384" s="17"/>
      <c r="H384" s="14"/>
      <c r="I384" s="17"/>
      <c r="J384" s="15"/>
      <c r="K384" s="15"/>
      <c r="L384" s="15"/>
      <c r="M384" s="9">
        <f>IF($A384="","",IF(LEFT($B384,5)="LEAPS",$D384,$C384)*100*$E384)</f>
      </c>
      <c r="N384" s="10">
        <f>IF(OR($A384="",ISNUMBER(MATCH(LOWER($H384),{"open",""},0))),"",IF(LEFT($B384,5)="LEAPS",-1,1)*($D384-IF(ISNUMBER(MATCH(LOWER($H384),{"closed"},0)),$J384,0))*100*$E384-$K384-$L384)</f>
      </c>
      <c r="O384" s="11">
        <f>IF(OR($A384="",$F384=""),"",MAX(1,IF(ISNUMBER(MATCH(LOWER($H384),{"open",""},0)),MIN(TODAY(),$G384),IF($I384="",$G384,$I384))-$F384))</f>
      </c>
      <c r="P384" s="12">
        <f>IF(OR($N384="",$M384="",$M384=0),"",$N384/$M384)</f>
      </c>
      <c r="Q384" s="12">
        <f>IF(OR($P384="",$O384=""),"",$P384*365/$O384)</f>
      </c>
      <c r="R384">
        <f>IF($N384="",0,$M384*$O384)</f>
      </c>
      <c r="S384">
        <f>IF(OR($A384="",LEFT($B384,5)="LEAPS"),0,$D384*100*$E384)</f>
      </c>
    </row>
    <row r="385" spans="1:19" x14ac:dyDescent="0.25">
      <c r="A385" s="13"/>
      <c r="B385" s="14"/>
      <c r="C385" s="15"/>
      <c r="D385" s="15"/>
      <c r="E385" s="16"/>
      <c r="F385" s="17"/>
      <c r="G385" s="17"/>
      <c r="H385" s="14"/>
      <c r="I385" s="17"/>
      <c r="J385" s="15"/>
      <c r="K385" s="15"/>
      <c r="L385" s="15"/>
      <c r="M385" s="9">
        <f>IF($A385="","",IF(LEFT($B385,5)="LEAPS",$D385,$C385)*100*$E385)</f>
      </c>
      <c r="N385" s="10">
        <f>IF(OR($A385="",ISNUMBER(MATCH(LOWER($H385),{"open",""},0))),"",IF(LEFT($B385,5)="LEAPS",-1,1)*($D385-IF(ISNUMBER(MATCH(LOWER($H385),{"closed"},0)),$J385,0))*100*$E385-$K385-$L385)</f>
      </c>
      <c r="O385" s="11">
        <f>IF(OR($A385="",$F385=""),"",MAX(1,IF(ISNUMBER(MATCH(LOWER($H385),{"open",""},0)),MIN(TODAY(),$G385),IF($I385="",$G385,$I385))-$F385))</f>
      </c>
      <c r="P385" s="12">
        <f>IF(OR($N385="",$M385="",$M385=0),"",$N385/$M385)</f>
      </c>
      <c r="Q385" s="12">
        <f>IF(OR($P385="",$O385=""),"",$P385*365/$O385)</f>
      </c>
      <c r="R385">
        <f>IF($N385="",0,$M385*$O385)</f>
      </c>
      <c r="S385">
        <f>IF(OR($A385="",LEFT($B385,5)="LEAPS"),0,$D385*100*$E385)</f>
      </c>
    </row>
    <row r="386" spans="1:19" x14ac:dyDescent="0.25">
      <c r="A386" s="13"/>
      <c r="B386" s="14"/>
      <c r="C386" s="15"/>
      <c r="D386" s="15"/>
      <c r="E386" s="16"/>
      <c r="F386" s="17"/>
      <c r="G386" s="17"/>
      <c r="H386" s="14"/>
      <c r="I386" s="17"/>
      <c r="J386" s="15"/>
      <c r="K386" s="15"/>
      <c r="L386" s="15"/>
      <c r="M386" s="9">
        <f>IF($A386="","",IF(LEFT($B386,5)="LEAPS",$D386,$C386)*100*$E386)</f>
      </c>
      <c r="N386" s="10">
        <f>IF(OR($A386="",ISNUMBER(MATCH(LOWER($H386),{"open",""},0))),"",IF(LEFT($B386,5)="LEAPS",-1,1)*($D386-IF(ISNUMBER(MATCH(LOWER($H386),{"closed"},0)),$J386,0))*100*$E386-$K386-$L386)</f>
      </c>
      <c r="O386" s="11">
        <f>IF(OR($A386="",$F386=""),"",MAX(1,IF(ISNUMBER(MATCH(LOWER($H386),{"open",""},0)),MIN(TODAY(),$G386),IF($I386="",$G386,$I386))-$F386))</f>
      </c>
      <c r="P386" s="12">
        <f>IF(OR($N386="",$M386="",$M386=0),"",$N386/$M386)</f>
      </c>
      <c r="Q386" s="12">
        <f>IF(OR($P386="",$O386=""),"",$P386*365/$O386)</f>
      </c>
      <c r="R386">
        <f>IF($N386="",0,$M386*$O386)</f>
      </c>
      <c r="S386">
        <f>IF(OR($A386="",LEFT($B386,5)="LEAPS"),0,$D386*100*$E386)</f>
      </c>
    </row>
    <row r="387" spans="1:19" x14ac:dyDescent="0.25">
      <c r="A387" s="13"/>
      <c r="B387" s="14"/>
      <c r="C387" s="15"/>
      <c r="D387" s="15"/>
      <c r="E387" s="16"/>
      <c r="F387" s="17"/>
      <c r="G387" s="17"/>
      <c r="H387" s="14"/>
      <c r="I387" s="17"/>
      <c r="J387" s="15"/>
      <c r="K387" s="15"/>
      <c r="L387" s="15"/>
      <c r="M387" s="9">
        <f>IF($A387="","",IF(LEFT($B387,5)="LEAPS",$D387,$C387)*100*$E387)</f>
      </c>
      <c r="N387" s="10">
        <f>IF(OR($A387="",ISNUMBER(MATCH(LOWER($H387),{"open",""},0))),"",IF(LEFT($B387,5)="LEAPS",-1,1)*($D387-IF(ISNUMBER(MATCH(LOWER($H387),{"closed"},0)),$J387,0))*100*$E387-$K387-$L387)</f>
      </c>
      <c r="O387" s="11">
        <f>IF(OR($A387="",$F387=""),"",MAX(1,IF(ISNUMBER(MATCH(LOWER($H387),{"open",""},0)),MIN(TODAY(),$G387),IF($I387="",$G387,$I387))-$F387))</f>
      </c>
      <c r="P387" s="12">
        <f>IF(OR($N387="",$M387="",$M387=0),"",$N387/$M387)</f>
      </c>
      <c r="Q387" s="12">
        <f>IF(OR($P387="",$O387=""),"",$P387*365/$O387)</f>
      </c>
      <c r="R387">
        <f>IF($N387="",0,$M387*$O387)</f>
      </c>
      <c r="S387">
        <f>IF(OR($A387="",LEFT($B387,5)="LEAPS"),0,$D387*100*$E387)</f>
      </c>
    </row>
    <row r="388" spans="1:19" x14ac:dyDescent="0.25">
      <c r="A388" s="13"/>
      <c r="B388" s="14"/>
      <c r="C388" s="15"/>
      <c r="D388" s="15"/>
      <c r="E388" s="16"/>
      <c r="F388" s="17"/>
      <c r="G388" s="17"/>
      <c r="H388" s="14"/>
      <c r="I388" s="17"/>
      <c r="J388" s="15"/>
      <c r="K388" s="15"/>
      <c r="L388" s="15"/>
      <c r="M388" s="9">
        <f>IF($A388="","",IF(LEFT($B388,5)="LEAPS",$D388,$C388)*100*$E388)</f>
      </c>
      <c r="N388" s="10">
        <f>IF(OR($A388="",ISNUMBER(MATCH(LOWER($H388),{"open",""},0))),"",IF(LEFT($B388,5)="LEAPS",-1,1)*($D388-IF(ISNUMBER(MATCH(LOWER($H388),{"closed"},0)),$J388,0))*100*$E388-$K388-$L388)</f>
      </c>
      <c r="O388" s="11">
        <f>IF(OR($A388="",$F388=""),"",MAX(1,IF(ISNUMBER(MATCH(LOWER($H388),{"open",""},0)),MIN(TODAY(),$G388),IF($I388="",$G388,$I388))-$F388))</f>
      </c>
      <c r="P388" s="12">
        <f>IF(OR($N388="",$M388="",$M388=0),"",$N388/$M388)</f>
      </c>
      <c r="Q388" s="12">
        <f>IF(OR($P388="",$O388=""),"",$P388*365/$O388)</f>
      </c>
      <c r="R388">
        <f>IF($N388="",0,$M388*$O388)</f>
      </c>
      <c r="S388">
        <f>IF(OR($A388="",LEFT($B388,5)="LEAPS"),0,$D388*100*$E388)</f>
      </c>
    </row>
    <row r="389" spans="1:19" x14ac:dyDescent="0.25">
      <c r="A389" s="13"/>
      <c r="B389" s="14"/>
      <c r="C389" s="15"/>
      <c r="D389" s="15"/>
      <c r="E389" s="16"/>
      <c r="F389" s="17"/>
      <c r="G389" s="17"/>
      <c r="H389" s="14"/>
      <c r="I389" s="17"/>
      <c r="J389" s="15"/>
      <c r="K389" s="15"/>
      <c r="L389" s="15"/>
      <c r="M389" s="9">
        <f>IF($A389="","",IF(LEFT($B389,5)="LEAPS",$D389,$C389)*100*$E389)</f>
      </c>
      <c r="N389" s="10">
        <f>IF(OR($A389="",ISNUMBER(MATCH(LOWER($H389),{"open",""},0))),"",IF(LEFT($B389,5)="LEAPS",-1,1)*($D389-IF(ISNUMBER(MATCH(LOWER($H389),{"closed"},0)),$J389,0))*100*$E389-$K389-$L389)</f>
      </c>
      <c r="O389" s="11">
        <f>IF(OR($A389="",$F389=""),"",MAX(1,IF(ISNUMBER(MATCH(LOWER($H389),{"open",""},0)),MIN(TODAY(),$G389),IF($I389="",$G389,$I389))-$F389))</f>
      </c>
      <c r="P389" s="12">
        <f>IF(OR($N389="",$M389="",$M389=0),"",$N389/$M389)</f>
      </c>
      <c r="Q389" s="12">
        <f>IF(OR($P389="",$O389=""),"",$P389*365/$O389)</f>
      </c>
      <c r="R389">
        <f>IF($N389="",0,$M389*$O389)</f>
      </c>
      <c r="S389">
        <f>IF(OR($A389="",LEFT($B389,5)="LEAPS"),0,$D389*100*$E389)</f>
      </c>
    </row>
    <row r="390" spans="1:19" x14ac:dyDescent="0.25">
      <c r="A390" s="13"/>
      <c r="B390" s="14"/>
      <c r="C390" s="15"/>
      <c r="D390" s="15"/>
      <c r="E390" s="16"/>
      <c r="F390" s="17"/>
      <c r="G390" s="17"/>
      <c r="H390" s="14"/>
      <c r="I390" s="17"/>
      <c r="J390" s="15"/>
      <c r="K390" s="15"/>
      <c r="L390" s="15"/>
      <c r="M390" s="9">
        <f>IF($A390="","",IF(LEFT($B390,5)="LEAPS",$D390,$C390)*100*$E390)</f>
      </c>
      <c r="N390" s="10">
        <f>IF(OR($A390="",ISNUMBER(MATCH(LOWER($H390),{"open",""},0))),"",IF(LEFT($B390,5)="LEAPS",-1,1)*($D390-IF(ISNUMBER(MATCH(LOWER($H390),{"closed"},0)),$J390,0))*100*$E390-$K390-$L390)</f>
      </c>
      <c r="O390" s="11">
        <f>IF(OR($A390="",$F390=""),"",MAX(1,IF(ISNUMBER(MATCH(LOWER($H390),{"open",""},0)),MIN(TODAY(),$G390),IF($I390="",$G390,$I390))-$F390))</f>
      </c>
      <c r="P390" s="12">
        <f>IF(OR($N390="",$M390="",$M390=0),"",$N390/$M390)</f>
      </c>
      <c r="Q390" s="12">
        <f>IF(OR($P390="",$O390=""),"",$P390*365/$O390)</f>
      </c>
      <c r="R390">
        <f>IF($N390="",0,$M390*$O390)</f>
      </c>
      <c r="S390">
        <f>IF(OR($A390="",LEFT($B390,5)="LEAPS"),0,$D390*100*$E390)</f>
      </c>
    </row>
    <row r="391" spans="1:19" x14ac:dyDescent="0.25">
      <c r="A391" s="13"/>
      <c r="B391" s="14"/>
      <c r="C391" s="15"/>
      <c r="D391" s="15"/>
      <c r="E391" s="16"/>
      <c r="F391" s="17"/>
      <c r="G391" s="17"/>
      <c r="H391" s="14"/>
      <c r="I391" s="17"/>
      <c r="J391" s="15"/>
      <c r="K391" s="15"/>
      <c r="L391" s="15"/>
      <c r="M391" s="9">
        <f>IF($A391="","",IF(LEFT($B391,5)="LEAPS",$D391,$C391)*100*$E391)</f>
      </c>
      <c r="N391" s="10">
        <f>IF(OR($A391="",ISNUMBER(MATCH(LOWER($H391),{"open",""},0))),"",IF(LEFT($B391,5)="LEAPS",-1,1)*($D391-IF(ISNUMBER(MATCH(LOWER($H391),{"closed"},0)),$J391,0))*100*$E391-$K391-$L391)</f>
      </c>
      <c r="O391" s="11">
        <f>IF(OR($A391="",$F391=""),"",MAX(1,IF(ISNUMBER(MATCH(LOWER($H391),{"open",""},0)),MIN(TODAY(),$G391),IF($I391="",$G391,$I391))-$F391))</f>
      </c>
      <c r="P391" s="12">
        <f>IF(OR($N391="",$M391="",$M391=0),"",$N391/$M391)</f>
      </c>
      <c r="Q391" s="12">
        <f>IF(OR($P391="",$O391=""),"",$P391*365/$O391)</f>
      </c>
      <c r="R391">
        <f>IF($N391="",0,$M391*$O391)</f>
      </c>
      <c r="S391">
        <f>IF(OR($A391="",LEFT($B391,5)="LEAPS"),0,$D391*100*$E391)</f>
      </c>
    </row>
    <row r="392" spans="1:19" x14ac:dyDescent="0.25">
      <c r="A392" s="13"/>
      <c r="B392" s="14"/>
      <c r="C392" s="15"/>
      <c r="D392" s="15"/>
      <c r="E392" s="16"/>
      <c r="F392" s="17"/>
      <c r="G392" s="17"/>
      <c r="H392" s="14"/>
      <c r="I392" s="17"/>
      <c r="J392" s="15"/>
      <c r="K392" s="15"/>
      <c r="L392" s="15"/>
      <c r="M392" s="9">
        <f>IF($A392="","",IF(LEFT($B392,5)="LEAPS",$D392,$C392)*100*$E392)</f>
      </c>
      <c r="N392" s="10">
        <f>IF(OR($A392="",ISNUMBER(MATCH(LOWER($H392),{"open",""},0))),"",IF(LEFT($B392,5)="LEAPS",-1,1)*($D392-IF(ISNUMBER(MATCH(LOWER($H392),{"closed"},0)),$J392,0))*100*$E392-$K392-$L392)</f>
      </c>
      <c r="O392" s="11">
        <f>IF(OR($A392="",$F392=""),"",MAX(1,IF(ISNUMBER(MATCH(LOWER($H392),{"open",""},0)),MIN(TODAY(),$G392),IF($I392="",$G392,$I392))-$F392))</f>
      </c>
      <c r="P392" s="12">
        <f>IF(OR($N392="",$M392="",$M392=0),"",$N392/$M392)</f>
      </c>
      <c r="Q392" s="12">
        <f>IF(OR($P392="",$O392=""),"",$P392*365/$O392)</f>
      </c>
      <c r="R392">
        <f>IF($N392="",0,$M392*$O392)</f>
      </c>
      <c r="S392">
        <f>IF(OR($A392="",LEFT($B392,5)="LEAPS"),0,$D392*100*$E392)</f>
      </c>
    </row>
    <row r="393" spans="1:19" x14ac:dyDescent="0.25">
      <c r="A393" s="13"/>
      <c r="B393" s="14"/>
      <c r="C393" s="15"/>
      <c r="D393" s="15"/>
      <c r="E393" s="16"/>
      <c r="F393" s="17"/>
      <c r="G393" s="17"/>
      <c r="H393" s="14"/>
      <c r="I393" s="17"/>
      <c r="J393" s="15"/>
      <c r="K393" s="15"/>
      <c r="L393" s="15"/>
      <c r="M393" s="9">
        <f>IF($A393="","",IF(LEFT($B393,5)="LEAPS",$D393,$C393)*100*$E393)</f>
      </c>
      <c r="N393" s="10">
        <f>IF(OR($A393="",ISNUMBER(MATCH(LOWER($H393),{"open",""},0))),"",IF(LEFT($B393,5)="LEAPS",-1,1)*($D393-IF(ISNUMBER(MATCH(LOWER($H393),{"closed"},0)),$J393,0))*100*$E393-$K393-$L393)</f>
      </c>
      <c r="O393" s="11">
        <f>IF(OR($A393="",$F393=""),"",MAX(1,IF(ISNUMBER(MATCH(LOWER($H393),{"open",""},0)),MIN(TODAY(),$G393),IF($I393="",$G393,$I393))-$F393))</f>
      </c>
      <c r="P393" s="12">
        <f>IF(OR($N393="",$M393="",$M393=0),"",$N393/$M393)</f>
      </c>
      <c r="Q393" s="12">
        <f>IF(OR($P393="",$O393=""),"",$P393*365/$O393)</f>
      </c>
      <c r="R393">
        <f>IF($N393="",0,$M393*$O393)</f>
      </c>
      <c r="S393">
        <f>IF(OR($A393="",LEFT($B393,5)="LEAPS"),0,$D393*100*$E393)</f>
      </c>
    </row>
    <row r="394" spans="1:19" x14ac:dyDescent="0.25">
      <c r="A394" s="13"/>
      <c r="B394" s="14"/>
      <c r="C394" s="15"/>
      <c r="D394" s="15"/>
      <c r="E394" s="16"/>
      <c r="F394" s="17"/>
      <c r="G394" s="17"/>
      <c r="H394" s="14"/>
      <c r="I394" s="17"/>
      <c r="J394" s="15"/>
      <c r="K394" s="15"/>
      <c r="L394" s="15"/>
      <c r="M394" s="9">
        <f>IF($A394="","",IF(LEFT($B394,5)="LEAPS",$D394,$C394)*100*$E394)</f>
      </c>
      <c r="N394" s="10">
        <f>IF(OR($A394="",ISNUMBER(MATCH(LOWER($H394),{"open",""},0))),"",IF(LEFT($B394,5)="LEAPS",-1,1)*($D394-IF(ISNUMBER(MATCH(LOWER($H394),{"closed"},0)),$J394,0))*100*$E394-$K394-$L394)</f>
      </c>
      <c r="O394" s="11">
        <f>IF(OR($A394="",$F394=""),"",MAX(1,IF(ISNUMBER(MATCH(LOWER($H394),{"open",""},0)),MIN(TODAY(),$G394),IF($I394="",$G394,$I394))-$F394))</f>
      </c>
      <c r="P394" s="12">
        <f>IF(OR($N394="",$M394="",$M394=0),"",$N394/$M394)</f>
      </c>
      <c r="Q394" s="12">
        <f>IF(OR($P394="",$O394=""),"",$P394*365/$O394)</f>
      </c>
      <c r="R394">
        <f>IF($N394="",0,$M394*$O394)</f>
      </c>
      <c r="S394">
        <f>IF(OR($A394="",LEFT($B394,5)="LEAPS"),0,$D394*100*$E394)</f>
      </c>
    </row>
    <row r="395" spans="1:19" x14ac:dyDescent="0.25">
      <c r="A395" s="13"/>
      <c r="B395" s="14"/>
      <c r="C395" s="15"/>
      <c r="D395" s="15"/>
      <c r="E395" s="16"/>
      <c r="F395" s="17"/>
      <c r="G395" s="17"/>
      <c r="H395" s="14"/>
      <c r="I395" s="17"/>
      <c r="J395" s="15"/>
      <c r="K395" s="15"/>
      <c r="L395" s="15"/>
      <c r="M395" s="9">
        <f>IF($A395="","",IF(LEFT($B395,5)="LEAPS",$D395,$C395)*100*$E395)</f>
      </c>
      <c r="N395" s="10">
        <f>IF(OR($A395="",ISNUMBER(MATCH(LOWER($H395),{"open",""},0))),"",IF(LEFT($B395,5)="LEAPS",-1,1)*($D395-IF(ISNUMBER(MATCH(LOWER($H395),{"closed"},0)),$J395,0))*100*$E395-$K395-$L395)</f>
      </c>
      <c r="O395" s="11">
        <f>IF(OR($A395="",$F395=""),"",MAX(1,IF(ISNUMBER(MATCH(LOWER($H395),{"open",""},0)),MIN(TODAY(),$G395),IF($I395="",$G395,$I395))-$F395))</f>
      </c>
      <c r="P395" s="12">
        <f>IF(OR($N395="",$M395="",$M395=0),"",$N395/$M395)</f>
      </c>
      <c r="Q395" s="12">
        <f>IF(OR($P395="",$O395=""),"",$P395*365/$O395)</f>
      </c>
      <c r="R395">
        <f>IF($N395="",0,$M395*$O395)</f>
      </c>
      <c r="S395">
        <f>IF(OR($A395="",LEFT($B395,5)="LEAPS"),0,$D395*100*$E395)</f>
      </c>
    </row>
    <row r="396" spans="1:19" x14ac:dyDescent="0.25">
      <c r="A396" s="13"/>
      <c r="B396" s="14"/>
      <c r="C396" s="15"/>
      <c r="D396" s="15"/>
      <c r="E396" s="16"/>
      <c r="F396" s="17"/>
      <c r="G396" s="17"/>
      <c r="H396" s="14"/>
      <c r="I396" s="17"/>
      <c r="J396" s="15"/>
      <c r="K396" s="15"/>
      <c r="L396" s="15"/>
      <c r="M396" s="9">
        <f>IF($A396="","",IF(LEFT($B396,5)="LEAPS",$D396,$C396)*100*$E396)</f>
      </c>
      <c r="N396" s="10">
        <f>IF(OR($A396="",ISNUMBER(MATCH(LOWER($H396),{"open",""},0))),"",IF(LEFT($B396,5)="LEAPS",-1,1)*($D396-IF(ISNUMBER(MATCH(LOWER($H396),{"closed"},0)),$J396,0))*100*$E396-$K396-$L396)</f>
      </c>
      <c r="O396" s="11">
        <f>IF(OR($A396="",$F396=""),"",MAX(1,IF(ISNUMBER(MATCH(LOWER($H396),{"open",""},0)),MIN(TODAY(),$G396),IF($I396="",$G396,$I396))-$F396))</f>
      </c>
      <c r="P396" s="12">
        <f>IF(OR($N396="",$M396="",$M396=0),"",$N396/$M396)</f>
      </c>
      <c r="Q396" s="12">
        <f>IF(OR($P396="",$O396=""),"",$P396*365/$O396)</f>
      </c>
      <c r="R396">
        <f>IF($N396="",0,$M396*$O396)</f>
      </c>
      <c r="S396">
        <f>IF(OR($A396="",LEFT($B396,5)="LEAPS"),0,$D396*100*$E396)</f>
      </c>
    </row>
    <row r="397" spans="1:19" x14ac:dyDescent="0.25">
      <c r="A397" s="13"/>
      <c r="B397" s="14"/>
      <c r="C397" s="15"/>
      <c r="D397" s="15"/>
      <c r="E397" s="16"/>
      <c r="F397" s="17"/>
      <c r="G397" s="17"/>
      <c r="H397" s="14"/>
      <c r="I397" s="17"/>
      <c r="J397" s="15"/>
      <c r="K397" s="15"/>
      <c r="L397" s="15"/>
      <c r="M397" s="9">
        <f>IF($A397="","",IF(LEFT($B397,5)="LEAPS",$D397,$C397)*100*$E397)</f>
      </c>
      <c r="N397" s="10">
        <f>IF(OR($A397="",ISNUMBER(MATCH(LOWER($H397),{"open",""},0))),"",IF(LEFT($B397,5)="LEAPS",-1,1)*($D397-IF(ISNUMBER(MATCH(LOWER($H397),{"closed"},0)),$J397,0))*100*$E397-$K397-$L397)</f>
      </c>
      <c r="O397" s="11">
        <f>IF(OR($A397="",$F397=""),"",MAX(1,IF(ISNUMBER(MATCH(LOWER($H397),{"open",""},0)),MIN(TODAY(),$G397),IF($I397="",$G397,$I397))-$F397))</f>
      </c>
      <c r="P397" s="12">
        <f>IF(OR($N397="",$M397="",$M397=0),"",$N397/$M397)</f>
      </c>
      <c r="Q397" s="12">
        <f>IF(OR($P397="",$O397=""),"",$P397*365/$O397)</f>
      </c>
      <c r="R397">
        <f>IF($N397="",0,$M397*$O397)</f>
      </c>
      <c r="S397">
        <f>IF(OR($A397="",LEFT($B397,5)="LEAPS"),0,$D397*100*$E397)</f>
      </c>
    </row>
    <row r="398" spans="1:19" x14ac:dyDescent="0.25">
      <c r="A398" s="13"/>
      <c r="B398" s="14"/>
      <c r="C398" s="15"/>
      <c r="D398" s="15"/>
      <c r="E398" s="16"/>
      <c r="F398" s="17"/>
      <c r="G398" s="17"/>
      <c r="H398" s="14"/>
      <c r="I398" s="17"/>
      <c r="J398" s="15"/>
      <c r="K398" s="15"/>
      <c r="L398" s="15"/>
      <c r="M398" s="9">
        <f>IF($A398="","",IF(LEFT($B398,5)="LEAPS",$D398,$C398)*100*$E398)</f>
      </c>
      <c r="N398" s="10">
        <f>IF(OR($A398="",ISNUMBER(MATCH(LOWER($H398),{"open",""},0))),"",IF(LEFT($B398,5)="LEAPS",-1,1)*($D398-IF(ISNUMBER(MATCH(LOWER($H398),{"closed"},0)),$J398,0))*100*$E398-$K398-$L398)</f>
      </c>
      <c r="O398" s="11">
        <f>IF(OR($A398="",$F398=""),"",MAX(1,IF(ISNUMBER(MATCH(LOWER($H398),{"open",""},0)),MIN(TODAY(),$G398),IF($I398="",$G398,$I398))-$F398))</f>
      </c>
      <c r="P398" s="12">
        <f>IF(OR($N398="",$M398="",$M398=0),"",$N398/$M398)</f>
      </c>
      <c r="Q398" s="12">
        <f>IF(OR($P398="",$O398=""),"",$P398*365/$O398)</f>
      </c>
      <c r="R398">
        <f>IF($N398="",0,$M398*$O398)</f>
      </c>
      <c r="S398">
        <f>IF(OR($A398="",LEFT($B398,5)="LEAPS"),0,$D398*100*$E398)</f>
      </c>
    </row>
    <row r="399" spans="1:19" x14ac:dyDescent="0.25">
      <c r="A399" s="13"/>
      <c r="B399" s="14"/>
      <c r="C399" s="15"/>
      <c r="D399" s="15"/>
      <c r="E399" s="16"/>
      <c r="F399" s="17"/>
      <c r="G399" s="17"/>
      <c r="H399" s="14"/>
      <c r="I399" s="17"/>
      <c r="J399" s="15"/>
      <c r="K399" s="15"/>
      <c r="L399" s="15"/>
      <c r="M399" s="9">
        <f>IF($A399="","",IF(LEFT($B399,5)="LEAPS",$D399,$C399)*100*$E399)</f>
      </c>
      <c r="N399" s="10">
        <f>IF(OR($A399="",ISNUMBER(MATCH(LOWER($H399),{"open",""},0))),"",IF(LEFT($B399,5)="LEAPS",-1,1)*($D399-IF(ISNUMBER(MATCH(LOWER($H399),{"closed"},0)),$J399,0))*100*$E399-$K399-$L399)</f>
      </c>
      <c r="O399" s="11">
        <f>IF(OR($A399="",$F399=""),"",MAX(1,IF(ISNUMBER(MATCH(LOWER($H399),{"open",""},0)),MIN(TODAY(),$G399),IF($I399="",$G399,$I399))-$F399))</f>
      </c>
      <c r="P399" s="12">
        <f>IF(OR($N399="",$M399="",$M399=0),"",$N399/$M399)</f>
      </c>
      <c r="Q399" s="12">
        <f>IF(OR($P399="",$O399=""),"",$P399*365/$O399)</f>
      </c>
      <c r="R399">
        <f>IF($N399="",0,$M399*$O399)</f>
      </c>
      <c r="S399">
        <f>IF(OR($A399="",LEFT($B399,5)="LEAPS"),0,$D399*100*$E399)</f>
      </c>
    </row>
    <row r="400" spans="1:19" x14ac:dyDescent="0.25">
      <c r="A400" s="13"/>
      <c r="B400" s="14"/>
      <c r="C400" s="15"/>
      <c r="D400" s="15"/>
      <c r="E400" s="16"/>
      <c r="F400" s="17"/>
      <c r="G400" s="17"/>
      <c r="H400" s="14"/>
      <c r="I400" s="17"/>
      <c r="J400" s="15"/>
      <c r="K400" s="15"/>
      <c r="L400" s="15"/>
      <c r="M400" s="9">
        <f>IF($A400="","",IF(LEFT($B400,5)="LEAPS",$D400,$C400)*100*$E400)</f>
      </c>
      <c r="N400" s="10">
        <f>IF(OR($A400="",ISNUMBER(MATCH(LOWER($H400),{"open",""},0))),"",IF(LEFT($B400,5)="LEAPS",-1,1)*($D400-IF(ISNUMBER(MATCH(LOWER($H400),{"closed"},0)),$J400,0))*100*$E400-$K400-$L400)</f>
      </c>
      <c r="O400" s="11">
        <f>IF(OR($A400="",$F400=""),"",MAX(1,IF(ISNUMBER(MATCH(LOWER($H400),{"open",""},0)),MIN(TODAY(),$G400),IF($I400="",$G400,$I400))-$F400))</f>
      </c>
      <c r="P400" s="12">
        <f>IF(OR($N400="",$M400="",$M400=0),"",$N400/$M400)</f>
      </c>
      <c r="Q400" s="12">
        <f>IF(OR($P400="",$O400=""),"",$P400*365/$O400)</f>
      </c>
      <c r="R400">
        <f>IF($N400="",0,$M400*$O400)</f>
      </c>
      <c r="S400">
        <f>IF(OR($A400="",LEFT($B400,5)="LEAPS"),0,$D400*100*$E400)</f>
      </c>
    </row>
    <row r="401" spans="1:19" x14ac:dyDescent="0.25">
      <c r="A401" s="13"/>
      <c r="B401" s="14"/>
      <c r="C401" s="15"/>
      <c r="D401" s="15"/>
      <c r="E401" s="16"/>
      <c r="F401" s="17"/>
      <c r="G401" s="17"/>
      <c r="H401" s="14"/>
      <c r="I401" s="17"/>
      <c r="J401" s="15"/>
      <c r="K401" s="15"/>
      <c r="L401" s="15"/>
      <c r="M401" s="9">
        <f>IF($A401="","",IF(LEFT($B401,5)="LEAPS",$D401,$C401)*100*$E401)</f>
      </c>
      <c r="N401" s="10">
        <f>IF(OR($A401="",ISNUMBER(MATCH(LOWER($H401),{"open",""},0))),"",IF(LEFT($B401,5)="LEAPS",-1,1)*($D401-IF(ISNUMBER(MATCH(LOWER($H401),{"closed"},0)),$J401,0))*100*$E401-$K401-$L401)</f>
      </c>
      <c r="O401" s="11">
        <f>IF(OR($A401="",$F401=""),"",MAX(1,IF(ISNUMBER(MATCH(LOWER($H401),{"open",""},0)),MIN(TODAY(),$G401),IF($I401="",$G401,$I401))-$F401))</f>
      </c>
      <c r="P401" s="12">
        <f>IF(OR($N401="",$M401="",$M401=0),"",$N401/$M401)</f>
      </c>
      <c r="Q401" s="12">
        <f>IF(OR($P401="",$O401=""),"",$P401*365/$O401)</f>
      </c>
      <c r="R401">
        <f>IF($N401="",0,$M401*$O401)</f>
      </c>
      <c r="S401">
        <f>IF(OR($A401="",LEFT($B401,5)="LEAPS"),0,$D401*100*$E401)</f>
      </c>
    </row>
    <row r="402" spans="1:19" x14ac:dyDescent="0.25">
      <c r="A402" s="13"/>
      <c r="B402" s="14"/>
      <c r="C402" s="15"/>
      <c r="D402" s="15"/>
      <c r="E402" s="16"/>
      <c r="F402" s="17"/>
      <c r="G402" s="17"/>
      <c r="H402" s="14"/>
      <c r="I402" s="17"/>
      <c r="J402" s="15"/>
      <c r="K402" s="15"/>
      <c r="L402" s="15"/>
      <c r="M402" s="9">
        <f>IF($A402="","",IF(LEFT($B402,5)="LEAPS",$D402,$C402)*100*$E402)</f>
      </c>
      <c r="N402" s="10">
        <f>IF(OR($A402="",ISNUMBER(MATCH(LOWER($H402),{"open",""},0))),"",IF(LEFT($B402,5)="LEAPS",-1,1)*($D402-IF(ISNUMBER(MATCH(LOWER($H402),{"closed"},0)),$J402,0))*100*$E402-$K402-$L402)</f>
      </c>
      <c r="O402" s="11">
        <f>IF(OR($A402="",$F402=""),"",MAX(1,IF(ISNUMBER(MATCH(LOWER($H402),{"open",""},0)),MIN(TODAY(),$G402),IF($I402="",$G402,$I402))-$F402))</f>
      </c>
      <c r="P402" s="12">
        <f>IF(OR($N402="",$M402="",$M402=0),"",$N402/$M402)</f>
      </c>
      <c r="Q402" s="12">
        <f>IF(OR($P402="",$O402=""),"",$P402*365/$O402)</f>
      </c>
      <c r="R402">
        <f>IF($N402="",0,$M402*$O402)</f>
      </c>
      <c r="S402">
        <f>IF(OR($A402="",LEFT($B402,5)="LEAPS"),0,$D402*100*$E402)</f>
      </c>
    </row>
    <row r="403" spans="1:19" x14ac:dyDescent="0.25">
      <c r="A403" s="13"/>
      <c r="B403" s="14"/>
      <c r="C403" s="15"/>
      <c r="D403" s="15"/>
      <c r="E403" s="16"/>
      <c r="F403" s="17"/>
      <c r="G403" s="17"/>
      <c r="H403" s="14"/>
      <c r="I403" s="17"/>
      <c r="J403" s="15"/>
      <c r="K403" s="15"/>
      <c r="L403" s="15"/>
      <c r="M403" s="9">
        <f>IF($A403="","",IF(LEFT($B403,5)="LEAPS",$D403,$C403)*100*$E403)</f>
      </c>
      <c r="N403" s="10">
        <f>IF(OR($A403="",ISNUMBER(MATCH(LOWER($H403),{"open",""},0))),"",IF(LEFT($B403,5)="LEAPS",-1,1)*($D403-IF(ISNUMBER(MATCH(LOWER($H403),{"closed"},0)),$J403,0))*100*$E403-$K403-$L403)</f>
      </c>
      <c r="O403" s="11">
        <f>IF(OR($A403="",$F403=""),"",MAX(1,IF(ISNUMBER(MATCH(LOWER($H403),{"open",""},0)),MIN(TODAY(),$G403),IF($I403="",$G403,$I403))-$F403))</f>
      </c>
      <c r="P403" s="12">
        <f>IF(OR($N403="",$M403="",$M403=0),"",$N403/$M403)</f>
      </c>
      <c r="Q403" s="12">
        <f>IF(OR($P403="",$O403=""),"",$P403*365/$O403)</f>
      </c>
      <c r="R403">
        <f>IF($N403="",0,$M403*$O403)</f>
      </c>
      <c r="S403">
        <f>IF(OR($A403="",LEFT($B403,5)="LEAPS"),0,$D403*100*$E403)</f>
      </c>
    </row>
    <row r="404" spans="1:19" x14ac:dyDescent="0.25">
      <c r="A404" s="13"/>
      <c r="B404" s="14"/>
      <c r="C404" s="15"/>
      <c r="D404" s="15"/>
      <c r="E404" s="16"/>
      <c r="F404" s="17"/>
      <c r="G404" s="17"/>
      <c r="H404" s="14"/>
      <c r="I404" s="17"/>
      <c r="J404" s="15"/>
      <c r="K404" s="15"/>
      <c r="L404" s="15"/>
      <c r="M404" s="9">
        <f>IF($A404="","",IF(LEFT($B404,5)="LEAPS",$D404,$C404)*100*$E404)</f>
      </c>
      <c r="N404" s="10">
        <f>IF(OR($A404="",ISNUMBER(MATCH(LOWER($H404),{"open",""},0))),"",IF(LEFT($B404,5)="LEAPS",-1,1)*($D404-IF(ISNUMBER(MATCH(LOWER($H404),{"closed"},0)),$J404,0))*100*$E404-$K404-$L404)</f>
      </c>
      <c r="O404" s="11">
        <f>IF(OR($A404="",$F404=""),"",MAX(1,IF(ISNUMBER(MATCH(LOWER($H404),{"open",""},0)),MIN(TODAY(),$G404),IF($I404="",$G404,$I404))-$F404))</f>
      </c>
      <c r="P404" s="12">
        <f>IF(OR($N404="",$M404="",$M404=0),"",$N404/$M404)</f>
      </c>
      <c r="Q404" s="12">
        <f>IF(OR($P404="",$O404=""),"",$P404*365/$O404)</f>
      </c>
      <c r="R404">
        <f>IF($N404="",0,$M404*$O404)</f>
      </c>
      <c r="S404">
        <f>IF(OR($A404="",LEFT($B404,5)="LEAPS"),0,$D404*100*$E404)</f>
      </c>
    </row>
    <row r="405" spans="1:19" x14ac:dyDescent="0.25">
      <c r="A405" s="13"/>
      <c r="B405" s="14"/>
      <c r="C405" s="15"/>
      <c r="D405" s="15"/>
      <c r="E405" s="16"/>
      <c r="F405" s="17"/>
      <c r="G405" s="17"/>
      <c r="H405" s="14"/>
      <c r="I405" s="17"/>
      <c r="J405" s="15"/>
      <c r="K405" s="15"/>
      <c r="L405" s="15"/>
      <c r="M405" s="9">
        <f>IF($A405="","",IF(LEFT($B405,5)="LEAPS",$D405,$C405)*100*$E405)</f>
      </c>
      <c r="N405" s="10">
        <f>IF(OR($A405="",ISNUMBER(MATCH(LOWER($H405),{"open",""},0))),"",IF(LEFT($B405,5)="LEAPS",-1,1)*($D405-IF(ISNUMBER(MATCH(LOWER($H405),{"closed"},0)),$J405,0))*100*$E405-$K405-$L405)</f>
      </c>
      <c r="O405" s="11">
        <f>IF(OR($A405="",$F405=""),"",MAX(1,IF(ISNUMBER(MATCH(LOWER($H405),{"open",""},0)),MIN(TODAY(),$G405),IF($I405="",$G405,$I405))-$F405))</f>
      </c>
      <c r="P405" s="12">
        <f>IF(OR($N405="",$M405="",$M405=0),"",$N405/$M405)</f>
      </c>
      <c r="Q405" s="12">
        <f>IF(OR($P405="",$O405=""),"",$P405*365/$O405)</f>
      </c>
      <c r="R405">
        <f>IF($N405="",0,$M405*$O405)</f>
      </c>
      <c r="S405">
        <f>IF(OR($A405="",LEFT($B405,5)="LEAPS"),0,$D405*100*$E405)</f>
      </c>
    </row>
    <row r="406" spans="1:19" x14ac:dyDescent="0.25">
      <c r="A406" s="13"/>
      <c r="B406" s="14"/>
      <c r="C406" s="15"/>
      <c r="D406" s="15"/>
      <c r="E406" s="16"/>
      <c r="F406" s="17"/>
      <c r="G406" s="17"/>
      <c r="H406" s="14"/>
      <c r="I406" s="17"/>
      <c r="J406" s="15"/>
      <c r="K406" s="15"/>
      <c r="L406" s="15"/>
      <c r="M406" s="9">
        <f>IF($A406="","",IF(LEFT($B406,5)="LEAPS",$D406,$C406)*100*$E406)</f>
      </c>
      <c r="N406" s="10">
        <f>IF(OR($A406="",ISNUMBER(MATCH(LOWER($H406),{"open",""},0))),"",IF(LEFT($B406,5)="LEAPS",-1,1)*($D406-IF(ISNUMBER(MATCH(LOWER($H406),{"closed"},0)),$J406,0))*100*$E406-$K406-$L406)</f>
      </c>
      <c r="O406" s="11">
        <f>IF(OR($A406="",$F406=""),"",MAX(1,IF(ISNUMBER(MATCH(LOWER($H406),{"open",""},0)),MIN(TODAY(),$G406),IF($I406="",$G406,$I406))-$F406))</f>
      </c>
      <c r="P406" s="12">
        <f>IF(OR($N406="",$M406="",$M406=0),"",$N406/$M406)</f>
      </c>
      <c r="Q406" s="12">
        <f>IF(OR($P406="",$O406=""),"",$P406*365/$O406)</f>
      </c>
      <c r="R406">
        <f>IF($N406="",0,$M406*$O406)</f>
      </c>
      <c r="S406">
        <f>IF(OR($A406="",LEFT($B406,5)="LEAPS"),0,$D406*100*$E406)</f>
      </c>
    </row>
    <row r="407" spans="1:19" x14ac:dyDescent="0.25">
      <c r="A407" s="13"/>
      <c r="B407" s="14"/>
      <c r="C407" s="15"/>
      <c r="D407" s="15"/>
      <c r="E407" s="16"/>
      <c r="F407" s="17"/>
      <c r="G407" s="17"/>
      <c r="H407" s="14"/>
      <c r="I407" s="17"/>
      <c r="J407" s="15"/>
      <c r="K407" s="15"/>
      <c r="L407" s="15"/>
      <c r="M407" s="9">
        <f>IF($A407="","",IF(LEFT($B407,5)="LEAPS",$D407,$C407)*100*$E407)</f>
      </c>
      <c r="N407" s="10">
        <f>IF(OR($A407="",ISNUMBER(MATCH(LOWER($H407),{"open",""},0))),"",IF(LEFT($B407,5)="LEAPS",-1,1)*($D407-IF(ISNUMBER(MATCH(LOWER($H407),{"closed"},0)),$J407,0))*100*$E407-$K407-$L407)</f>
      </c>
      <c r="O407" s="11">
        <f>IF(OR($A407="",$F407=""),"",MAX(1,IF(ISNUMBER(MATCH(LOWER($H407),{"open",""},0)),MIN(TODAY(),$G407),IF($I407="",$G407,$I407))-$F407))</f>
      </c>
      <c r="P407" s="12">
        <f>IF(OR($N407="",$M407="",$M407=0),"",$N407/$M407)</f>
      </c>
      <c r="Q407" s="12">
        <f>IF(OR($P407="",$O407=""),"",$P407*365/$O407)</f>
      </c>
      <c r="R407">
        <f>IF($N407="",0,$M407*$O407)</f>
      </c>
      <c r="S407">
        <f>IF(OR($A407="",LEFT($B407,5)="LEAPS"),0,$D407*100*$E407)</f>
      </c>
    </row>
    <row r="408" spans="1:19" x14ac:dyDescent="0.25">
      <c r="A408" s="13"/>
      <c r="B408" s="14"/>
      <c r="C408" s="15"/>
      <c r="D408" s="15"/>
      <c r="E408" s="16"/>
      <c r="F408" s="17"/>
      <c r="G408" s="17"/>
      <c r="H408" s="14"/>
      <c r="I408" s="17"/>
      <c r="J408" s="15"/>
      <c r="K408" s="15"/>
      <c r="L408" s="15"/>
      <c r="M408" s="9">
        <f>IF($A408="","",IF(LEFT($B408,5)="LEAPS",$D408,$C408)*100*$E408)</f>
      </c>
      <c r="N408" s="10">
        <f>IF(OR($A408="",ISNUMBER(MATCH(LOWER($H408),{"open",""},0))),"",IF(LEFT($B408,5)="LEAPS",-1,1)*($D408-IF(ISNUMBER(MATCH(LOWER($H408),{"closed"},0)),$J408,0))*100*$E408-$K408-$L408)</f>
      </c>
      <c r="O408" s="11">
        <f>IF(OR($A408="",$F408=""),"",MAX(1,IF(ISNUMBER(MATCH(LOWER($H408),{"open",""},0)),MIN(TODAY(),$G408),IF($I408="",$G408,$I408))-$F408))</f>
      </c>
      <c r="P408" s="12">
        <f>IF(OR($N408="",$M408="",$M408=0),"",$N408/$M408)</f>
      </c>
      <c r="Q408" s="12">
        <f>IF(OR($P408="",$O408=""),"",$P408*365/$O408)</f>
      </c>
      <c r="R408">
        <f>IF($N408="",0,$M408*$O408)</f>
      </c>
      <c r="S408">
        <f>IF(OR($A408="",LEFT($B408,5)="LEAPS"),0,$D408*100*$E408)</f>
      </c>
    </row>
    <row r="409" spans="1:19" x14ac:dyDescent="0.25">
      <c r="A409" s="13"/>
      <c r="B409" s="14"/>
      <c r="C409" s="15"/>
      <c r="D409" s="15"/>
      <c r="E409" s="16"/>
      <c r="F409" s="17"/>
      <c r="G409" s="17"/>
      <c r="H409" s="14"/>
      <c r="I409" s="17"/>
      <c r="J409" s="15"/>
      <c r="K409" s="15"/>
      <c r="L409" s="15"/>
      <c r="M409" s="9">
        <f>IF($A409="","",IF(LEFT($B409,5)="LEAPS",$D409,$C409)*100*$E409)</f>
      </c>
      <c r="N409" s="10">
        <f>IF(OR($A409="",ISNUMBER(MATCH(LOWER($H409),{"open",""},0))),"",IF(LEFT($B409,5)="LEAPS",-1,1)*($D409-IF(ISNUMBER(MATCH(LOWER($H409),{"closed"},0)),$J409,0))*100*$E409-$K409-$L409)</f>
      </c>
      <c r="O409" s="11">
        <f>IF(OR($A409="",$F409=""),"",MAX(1,IF(ISNUMBER(MATCH(LOWER($H409),{"open",""},0)),MIN(TODAY(),$G409),IF($I409="",$G409,$I409))-$F409))</f>
      </c>
      <c r="P409" s="12">
        <f>IF(OR($N409="",$M409="",$M409=0),"",$N409/$M409)</f>
      </c>
      <c r="Q409" s="12">
        <f>IF(OR($P409="",$O409=""),"",$P409*365/$O409)</f>
      </c>
      <c r="R409">
        <f>IF($N409="",0,$M409*$O409)</f>
      </c>
      <c r="S409">
        <f>IF(OR($A409="",LEFT($B409,5)="LEAPS"),0,$D409*100*$E409)</f>
      </c>
    </row>
    <row r="410" spans="1:19" x14ac:dyDescent="0.25">
      <c r="A410" s="13"/>
      <c r="B410" s="14"/>
      <c r="C410" s="15"/>
      <c r="D410" s="15"/>
      <c r="E410" s="16"/>
      <c r="F410" s="17"/>
      <c r="G410" s="17"/>
      <c r="H410" s="14"/>
      <c r="I410" s="17"/>
      <c r="J410" s="15"/>
      <c r="K410" s="15"/>
      <c r="L410" s="15"/>
      <c r="M410" s="9">
        <f>IF($A410="","",IF(LEFT($B410,5)="LEAPS",$D410,$C410)*100*$E410)</f>
      </c>
      <c r="N410" s="10">
        <f>IF(OR($A410="",ISNUMBER(MATCH(LOWER($H410),{"open",""},0))),"",IF(LEFT($B410,5)="LEAPS",-1,1)*($D410-IF(ISNUMBER(MATCH(LOWER($H410),{"closed"},0)),$J410,0))*100*$E410-$K410-$L410)</f>
      </c>
      <c r="O410" s="11">
        <f>IF(OR($A410="",$F410=""),"",MAX(1,IF(ISNUMBER(MATCH(LOWER($H410),{"open",""},0)),MIN(TODAY(),$G410),IF($I410="",$G410,$I410))-$F410))</f>
      </c>
      <c r="P410" s="12">
        <f>IF(OR($N410="",$M410="",$M410=0),"",$N410/$M410)</f>
      </c>
      <c r="Q410" s="12">
        <f>IF(OR($P410="",$O410=""),"",$P410*365/$O410)</f>
      </c>
      <c r="R410">
        <f>IF($N410="",0,$M410*$O410)</f>
      </c>
      <c r="S410">
        <f>IF(OR($A410="",LEFT($B410,5)="LEAPS"),0,$D410*100*$E410)</f>
      </c>
    </row>
    <row r="411" spans="1:19" x14ac:dyDescent="0.25">
      <c r="A411" s="13"/>
      <c r="B411" s="14"/>
      <c r="C411" s="15"/>
      <c r="D411" s="15"/>
      <c r="E411" s="16"/>
      <c r="F411" s="17"/>
      <c r="G411" s="17"/>
      <c r="H411" s="14"/>
      <c r="I411" s="17"/>
      <c r="J411" s="15"/>
      <c r="K411" s="15"/>
      <c r="L411" s="15"/>
      <c r="M411" s="9">
        <f>IF($A411="","",IF(LEFT($B411,5)="LEAPS",$D411,$C411)*100*$E411)</f>
      </c>
      <c r="N411" s="10">
        <f>IF(OR($A411="",ISNUMBER(MATCH(LOWER($H411),{"open",""},0))),"",IF(LEFT($B411,5)="LEAPS",-1,1)*($D411-IF(ISNUMBER(MATCH(LOWER($H411),{"closed"},0)),$J411,0))*100*$E411-$K411-$L411)</f>
      </c>
      <c r="O411" s="11">
        <f>IF(OR($A411="",$F411=""),"",MAX(1,IF(ISNUMBER(MATCH(LOWER($H411),{"open",""},0)),MIN(TODAY(),$G411),IF($I411="",$G411,$I411))-$F411))</f>
      </c>
      <c r="P411" s="12">
        <f>IF(OR($N411="",$M411="",$M411=0),"",$N411/$M411)</f>
      </c>
      <c r="Q411" s="12">
        <f>IF(OR($P411="",$O411=""),"",$P411*365/$O411)</f>
      </c>
      <c r="R411">
        <f>IF($N411="",0,$M411*$O411)</f>
      </c>
      <c r="S411">
        <f>IF(OR($A411="",LEFT($B411,5)="LEAPS"),0,$D411*100*$E411)</f>
      </c>
    </row>
    <row r="412" spans="1:19" x14ac:dyDescent="0.25">
      <c r="A412" s="13"/>
      <c r="B412" s="14"/>
      <c r="C412" s="15"/>
      <c r="D412" s="15"/>
      <c r="E412" s="16"/>
      <c r="F412" s="17"/>
      <c r="G412" s="17"/>
      <c r="H412" s="14"/>
      <c r="I412" s="17"/>
      <c r="J412" s="15"/>
      <c r="K412" s="15"/>
      <c r="L412" s="15"/>
      <c r="M412" s="9">
        <f>IF($A412="","",IF(LEFT($B412,5)="LEAPS",$D412,$C412)*100*$E412)</f>
      </c>
      <c r="N412" s="10">
        <f>IF(OR($A412="",ISNUMBER(MATCH(LOWER($H412),{"open",""},0))),"",IF(LEFT($B412,5)="LEAPS",-1,1)*($D412-IF(ISNUMBER(MATCH(LOWER($H412),{"closed"},0)),$J412,0))*100*$E412-$K412-$L412)</f>
      </c>
      <c r="O412" s="11">
        <f>IF(OR($A412="",$F412=""),"",MAX(1,IF(ISNUMBER(MATCH(LOWER($H412),{"open",""},0)),MIN(TODAY(),$G412),IF($I412="",$G412,$I412))-$F412))</f>
      </c>
      <c r="P412" s="12">
        <f>IF(OR($N412="",$M412="",$M412=0),"",$N412/$M412)</f>
      </c>
      <c r="Q412" s="12">
        <f>IF(OR($P412="",$O412=""),"",$P412*365/$O412)</f>
      </c>
      <c r="R412">
        <f>IF($N412="",0,$M412*$O412)</f>
      </c>
      <c r="S412">
        <f>IF(OR($A412="",LEFT($B412,5)="LEAPS"),0,$D412*100*$E412)</f>
      </c>
    </row>
    <row r="413" spans="1:19" x14ac:dyDescent="0.25">
      <c r="A413" s="13"/>
      <c r="B413" s="14"/>
      <c r="C413" s="15"/>
      <c r="D413" s="15"/>
      <c r="E413" s="16"/>
      <c r="F413" s="17"/>
      <c r="G413" s="17"/>
      <c r="H413" s="14"/>
      <c r="I413" s="17"/>
      <c r="J413" s="15"/>
      <c r="K413" s="15"/>
      <c r="L413" s="15"/>
      <c r="M413" s="9">
        <f>IF($A413="","",IF(LEFT($B413,5)="LEAPS",$D413,$C413)*100*$E413)</f>
      </c>
      <c r="N413" s="10">
        <f>IF(OR($A413="",ISNUMBER(MATCH(LOWER($H413),{"open",""},0))),"",IF(LEFT($B413,5)="LEAPS",-1,1)*($D413-IF(ISNUMBER(MATCH(LOWER($H413),{"closed"},0)),$J413,0))*100*$E413-$K413-$L413)</f>
      </c>
      <c r="O413" s="11">
        <f>IF(OR($A413="",$F413=""),"",MAX(1,IF(ISNUMBER(MATCH(LOWER($H413),{"open",""},0)),MIN(TODAY(),$G413),IF($I413="",$G413,$I413))-$F413))</f>
      </c>
      <c r="P413" s="12">
        <f>IF(OR($N413="",$M413="",$M413=0),"",$N413/$M413)</f>
      </c>
      <c r="Q413" s="12">
        <f>IF(OR($P413="",$O413=""),"",$P413*365/$O413)</f>
      </c>
      <c r="R413">
        <f>IF($N413="",0,$M413*$O413)</f>
      </c>
      <c r="S413">
        <f>IF(OR($A413="",LEFT($B413,5)="LEAPS"),0,$D413*100*$E413)</f>
      </c>
    </row>
    <row r="414" spans="1:19" x14ac:dyDescent="0.25">
      <c r="A414" s="13"/>
      <c r="B414" s="14"/>
      <c r="C414" s="15"/>
      <c r="D414" s="15"/>
      <c r="E414" s="16"/>
      <c r="F414" s="17"/>
      <c r="G414" s="17"/>
      <c r="H414" s="14"/>
      <c r="I414" s="17"/>
      <c r="J414" s="15"/>
      <c r="K414" s="15"/>
      <c r="L414" s="15"/>
      <c r="M414" s="9">
        <f>IF($A414="","",IF(LEFT($B414,5)="LEAPS",$D414,$C414)*100*$E414)</f>
      </c>
      <c r="N414" s="10">
        <f>IF(OR($A414="",ISNUMBER(MATCH(LOWER($H414),{"open",""},0))),"",IF(LEFT($B414,5)="LEAPS",-1,1)*($D414-IF(ISNUMBER(MATCH(LOWER($H414),{"closed"},0)),$J414,0))*100*$E414-$K414-$L414)</f>
      </c>
      <c r="O414" s="11">
        <f>IF(OR($A414="",$F414=""),"",MAX(1,IF(ISNUMBER(MATCH(LOWER($H414),{"open",""},0)),MIN(TODAY(),$G414),IF($I414="",$G414,$I414))-$F414))</f>
      </c>
      <c r="P414" s="12">
        <f>IF(OR($N414="",$M414="",$M414=0),"",$N414/$M414)</f>
      </c>
      <c r="Q414" s="12">
        <f>IF(OR($P414="",$O414=""),"",$P414*365/$O414)</f>
      </c>
      <c r="R414">
        <f>IF($N414="",0,$M414*$O414)</f>
      </c>
      <c r="S414">
        <f>IF(OR($A414="",LEFT($B414,5)="LEAPS"),0,$D414*100*$E414)</f>
      </c>
    </row>
    <row r="415" spans="1:19" x14ac:dyDescent="0.25">
      <c r="A415" s="13"/>
      <c r="B415" s="14"/>
      <c r="C415" s="15"/>
      <c r="D415" s="15"/>
      <c r="E415" s="16"/>
      <c r="F415" s="17"/>
      <c r="G415" s="17"/>
      <c r="H415" s="14"/>
      <c r="I415" s="17"/>
      <c r="J415" s="15"/>
      <c r="K415" s="15"/>
      <c r="L415" s="15"/>
      <c r="M415" s="9">
        <f>IF($A415="","",IF(LEFT($B415,5)="LEAPS",$D415,$C415)*100*$E415)</f>
      </c>
      <c r="N415" s="10">
        <f>IF(OR($A415="",ISNUMBER(MATCH(LOWER($H415),{"open",""},0))),"",IF(LEFT($B415,5)="LEAPS",-1,1)*($D415-IF(ISNUMBER(MATCH(LOWER($H415),{"closed"},0)),$J415,0))*100*$E415-$K415-$L415)</f>
      </c>
      <c r="O415" s="11">
        <f>IF(OR($A415="",$F415=""),"",MAX(1,IF(ISNUMBER(MATCH(LOWER($H415),{"open",""},0)),MIN(TODAY(),$G415),IF($I415="",$G415,$I415))-$F415))</f>
      </c>
      <c r="P415" s="12">
        <f>IF(OR($N415="",$M415="",$M415=0),"",$N415/$M415)</f>
      </c>
      <c r="Q415" s="12">
        <f>IF(OR($P415="",$O415=""),"",$P415*365/$O415)</f>
      </c>
      <c r="R415">
        <f>IF($N415="",0,$M415*$O415)</f>
      </c>
      <c r="S415">
        <f>IF(OR($A415="",LEFT($B415,5)="LEAPS"),0,$D415*100*$E415)</f>
      </c>
    </row>
    <row r="416" spans="1:19" x14ac:dyDescent="0.25">
      <c r="A416" s="13"/>
      <c r="B416" s="14"/>
      <c r="C416" s="15"/>
      <c r="D416" s="15"/>
      <c r="E416" s="16"/>
      <c r="F416" s="17"/>
      <c r="G416" s="17"/>
      <c r="H416" s="14"/>
      <c r="I416" s="17"/>
      <c r="J416" s="15"/>
      <c r="K416" s="15"/>
      <c r="L416" s="15"/>
      <c r="M416" s="9">
        <f>IF($A416="","",IF(LEFT($B416,5)="LEAPS",$D416,$C416)*100*$E416)</f>
      </c>
      <c r="N416" s="10">
        <f>IF(OR($A416="",ISNUMBER(MATCH(LOWER($H416),{"open",""},0))),"",IF(LEFT($B416,5)="LEAPS",-1,1)*($D416-IF(ISNUMBER(MATCH(LOWER($H416),{"closed"},0)),$J416,0))*100*$E416-$K416-$L416)</f>
      </c>
      <c r="O416" s="11">
        <f>IF(OR($A416="",$F416=""),"",MAX(1,IF(ISNUMBER(MATCH(LOWER($H416),{"open",""},0)),MIN(TODAY(),$G416),IF($I416="",$G416,$I416))-$F416))</f>
      </c>
      <c r="P416" s="12">
        <f>IF(OR($N416="",$M416="",$M416=0),"",$N416/$M416)</f>
      </c>
      <c r="Q416" s="12">
        <f>IF(OR($P416="",$O416=""),"",$P416*365/$O416)</f>
      </c>
      <c r="R416">
        <f>IF($N416="",0,$M416*$O416)</f>
      </c>
      <c r="S416">
        <f>IF(OR($A416="",LEFT($B416,5)="LEAPS"),0,$D416*100*$E416)</f>
      </c>
    </row>
    <row r="417" spans="1:19" x14ac:dyDescent="0.25">
      <c r="A417" s="13"/>
      <c r="B417" s="14"/>
      <c r="C417" s="15"/>
      <c r="D417" s="15"/>
      <c r="E417" s="16"/>
      <c r="F417" s="17"/>
      <c r="G417" s="17"/>
      <c r="H417" s="14"/>
      <c r="I417" s="17"/>
      <c r="J417" s="15"/>
      <c r="K417" s="15"/>
      <c r="L417" s="15"/>
      <c r="M417" s="9">
        <f>IF($A417="","",IF(LEFT($B417,5)="LEAPS",$D417,$C417)*100*$E417)</f>
      </c>
      <c r="N417" s="10">
        <f>IF(OR($A417="",ISNUMBER(MATCH(LOWER($H417),{"open",""},0))),"",IF(LEFT($B417,5)="LEAPS",-1,1)*($D417-IF(ISNUMBER(MATCH(LOWER($H417),{"closed"},0)),$J417,0))*100*$E417-$K417-$L417)</f>
      </c>
      <c r="O417" s="11">
        <f>IF(OR($A417="",$F417=""),"",MAX(1,IF(ISNUMBER(MATCH(LOWER($H417),{"open",""},0)),MIN(TODAY(),$G417),IF($I417="",$G417,$I417))-$F417))</f>
      </c>
      <c r="P417" s="12">
        <f>IF(OR($N417="",$M417="",$M417=0),"",$N417/$M417)</f>
      </c>
      <c r="Q417" s="12">
        <f>IF(OR($P417="",$O417=""),"",$P417*365/$O417)</f>
      </c>
      <c r="R417">
        <f>IF($N417="",0,$M417*$O417)</f>
      </c>
      <c r="S417">
        <f>IF(OR($A417="",LEFT($B417,5)="LEAPS"),0,$D417*100*$E417)</f>
      </c>
    </row>
    <row r="418" spans="1:19" x14ac:dyDescent="0.25">
      <c r="A418" s="13"/>
      <c r="B418" s="14"/>
      <c r="C418" s="15"/>
      <c r="D418" s="15"/>
      <c r="E418" s="16"/>
      <c r="F418" s="17"/>
      <c r="G418" s="17"/>
      <c r="H418" s="14"/>
      <c r="I418" s="17"/>
      <c r="J418" s="15"/>
      <c r="K418" s="15"/>
      <c r="L418" s="15"/>
      <c r="M418" s="9">
        <f>IF($A418="","",IF(LEFT($B418,5)="LEAPS",$D418,$C418)*100*$E418)</f>
      </c>
      <c r="N418" s="10">
        <f>IF(OR($A418="",ISNUMBER(MATCH(LOWER($H418),{"open",""},0))),"",IF(LEFT($B418,5)="LEAPS",-1,1)*($D418-IF(ISNUMBER(MATCH(LOWER($H418),{"closed"},0)),$J418,0))*100*$E418-$K418-$L418)</f>
      </c>
      <c r="O418" s="11">
        <f>IF(OR($A418="",$F418=""),"",MAX(1,IF(ISNUMBER(MATCH(LOWER($H418),{"open",""},0)),MIN(TODAY(),$G418),IF($I418="",$G418,$I418))-$F418))</f>
      </c>
      <c r="P418" s="12">
        <f>IF(OR($N418="",$M418="",$M418=0),"",$N418/$M418)</f>
      </c>
      <c r="Q418" s="12">
        <f>IF(OR($P418="",$O418=""),"",$P418*365/$O418)</f>
      </c>
      <c r="R418">
        <f>IF($N418="",0,$M418*$O418)</f>
      </c>
      <c r="S418">
        <f>IF(OR($A418="",LEFT($B418,5)="LEAPS"),0,$D418*100*$E418)</f>
      </c>
    </row>
    <row r="419" spans="1:19" x14ac:dyDescent="0.25">
      <c r="A419" s="13"/>
      <c r="B419" s="14"/>
      <c r="C419" s="15"/>
      <c r="D419" s="15"/>
      <c r="E419" s="16"/>
      <c r="F419" s="17"/>
      <c r="G419" s="17"/>
      <c r="H419" s="14"/>
      <c r="I419" s="17"/>
      <c r="J419" s="15"/>
      <c r="K419" s="15"/>
      <c r="L419" s="15"/>
      <c r="M419" s="9">
        <f>IF($A419="","",IF(LEFT($B419,5)="LEAPS",$D419,$C419)*100*$E419)</f>
      </c>
      <c r="N419" s="10">
        <f>IF(OR($A419="",ISNUMBER(MATCH(LOWER($H419),{"open",""},0))),"",IF(LEFT($B419,5)="LEAPS",-1,1)*($D419-IF(ISNUMBER(MATCH(LOWER($H419),{"closed"},0)),$J419,0))*100*$E419-$K419-$L419)</f>
      </c>
      <c r="O419" s="11">
        <f>IF(OR($A419="",$F419=""),"",MAX(1,IF(ISNUMBER(MATCH(LOWER($H419),{"open",""},0)),MIN(TODAY(),$G419),IF($I419="",$G419,$I419))-$F419))</f>
      </c>
      <c r="P419" s="12">
        <f>IF(OR($N419="",$M419="",$M419=0),"",$N419/$M419)</f>
      </c>
      <c r="Q419" s="12">
        <f>IF(OR($P419="",$O419=""),"",$P419*365/$O419)</f>
      </c>
      <c r="R419">
        <f>IF($N419="",0,$M419*$O419)</f>
      </c>
      <c r="S419">
        <f>IF(OR($A419="",LEFT($B419,5)="LEAPS"),0,$D419*100*$E419)</f>
      </c>
    </row>
    <row r="420" spans="1:19" x14ac:dyDescent="0.25">
      <c r="A420" s="13"/>
      <c r="B420" s="14"/>
      <c r="C420" s="15"/>
      <c r="D420" s="15"/>
      <c r="E420" s="16"/>
      <c r="F420" s="17"/>
      <c r="G420" s="17"/>
      <c r="H420" s="14"/>
      <c r="I420" s="17"/>
      <c r="J420" s="15"/>
      <c r="K420" s="15"/>
      <c r="L420" s="15"/>
      <c r="M420" s="9">
        <f>IF($A420="","",IF(LEFT($B420,5)="LEAPS",$D420,$C420)*100*$E420)</f>
      </c>
      <c r="N420" s="10">
        <f>IF(OR($A420="",ISNUMBER(MATCH(LOWER($H420),{"open",""},0))),"",IF(LEFT($B420,5)="LEAPS",-1,1)*($D420-IF(ISNUMBER(MATCH(LOWER($H420),{"closed"},0)),$J420,0))*100*$E420-$K420-$L420)</f>
      </c>
      <c r="O420" s="11">
        <f>IF(OR($A420="",$F420=""),"",MAX(1,IF(ISNUMBER(MATCH(LOWER($H420),{"open",""},0)),MIN(TODAY(),$G420),IF($I420="",$G420,$I420))-$F420))</f>
      </c>
      <c r="P420" s="12">
        <f>IF(OR($N420="",$M420="",$M420=0),"",$N420/$M420)</f>
      </c>
      <c r="Q420" s="12">
        <f>IF(OR($P420="",$O420=""),"",$P420*365/$O420)</f>
      </c>
      <c r="R420">
        <f>IF($N420="",0,$M420*$O420)</f>
      </c>
      <c r="S420">
        <f>IF(OR($A420="",LEFT($B420,5)="LEAPS"),0,$D420*100*$E420)</f>
      </c>
    </row>
    <row r="421" spans="1:19" x14ac:dyDescent="0.25">
      <c r="A421" s="13"/>
      <c r="B421" s="14"/>
      <c r="C421" s="15"/>
      <c r="D421" s="15"/>
      <c r="E421" s="16"/>
      <c r="F421" s="17"/>
      <c r="G421" s="17"/>
      <c r="H421" s="14"/>
      <c r="I421" s="17"/>
      <c r="J421" s="15"/>
      <c r="K421" s="15"/>
      <c r="L421" s="15"/>
      <c r="M421" s="9">
        <f>IF($A421="","",IF(LEFT($B421,5)="LEAPS",$D421,$C421)*100*$E421)</f>
      </c>
      <c r="N421" s="10">
        <f>IF(OR($A421="",ISNUMBER(MATCH(LOWER($H421),{"open",""},0))),"",IF(LEFT($B421,5)="LEAPS",-1,1)*($D421-IF(ISNUMBER(MATCH(LOWER($H421),{"closed"},0)),$J421,0))*100*$E421-$K421-$L421)</f>
      </c>
      <c r="O421" s="11">
        <f>IF(OR($A421="",$F421=""),"",MAX(1,IF(ISNUMBER(MATCH(LOWER($H421),{"open",""},0)),MIN(TODAY(),$G421),IF($I421="",$G421,$I421))-$F421))</f>
      </c>
      <c r="P421" s="12">
        <f>IF(OR($N421="",$M421="",$M421=0),"",$N421/$M421)</f>
      </c>
      <c r="Q421" s="12">
        <f>IF(OR($P421="",$O421=""),"",$P421*365/$O421)</f>
      </c>
      <c r="R421">
        <f>IF($N421="",0,$M421*$O421)</f>
      </c>
      <c r="S421">
        <f>IF(OR($A421="",LEFT($B421,5)="LEAPS"),0,$D421*100*$E421)</f>
      </c>
    </row>
    <row r="422" spans="1:19" x14ac:dyDescent="0.25">
      <c r="A422" s="13"/>
      <c r="B422" s="14"/>
      <c r="C422" s="15"/>
      <c r="D422" s="15"/>
      <c r="E422" s="16"/>
      <c r="F422" s="17"/>
      <c r="G422" s="17"/>
      <c r="H422" s="14"/>
      <c r="I422" s="17"/>
      <c r="J422" s="15"/>
      <c r="K422" s="15"/>
      <c r="L422" s="15"/>
      <c r="M422" s="9">
        <f>IF($A422="","",IF(LEFT($B422,5)="LEAPS",$D422,$C422)*100*$E422)</f>
      </c>
      <c r="N422" s="10">
        <f>IF(OR($A422="",ISNUMBER(MATCH(LOWER($H422),{"open",""},0))),"",IF(LEFT($B422,5)="LEAPS",-1,1)*($D422-IF(ISNUMBER(MATCH(LOWER($H422),{"closed"},0)),$J422,0))*100*$E422-$K422-$L422)</f>
      </c>
      <c r="O422" s="11">
        <f>IF(OR($A422="",$F422=""),"",MAX(1,IF(ISNUMBER(MATCH(LOWER($H422),{"open",""},0)),MIN(TODAY(),$G422),IF($I422="",$G422,$I422))-$F422))</f>
      </c>
      <c r="P422" s="12">
        <f>IF(OR($N422="",$M422="",$M422=0),"",$N422/$M422)</f>
      </c>
      <c r="Q422" s="12">
        <f>IF(OR($P422="",$O422=""),"",$P422*365/$O422)</f>
      </c>
      <c r="R422">
        <f>IF($N422="",0,$M422*$O422)</f>
      </c>
      <c r="S422">
        <f>IF(OR($A422="",LEFT($B422,5)="LEAPS"),0,$D422*100*$E422)</f>
      </c>
    </row>
    <row r="423" spans="1:19" x14ac:dyDescent="0.25">
      <c r="A423" s="13"/>
      <c r="B423" s="14"/>
      <c r="C423" s="15"/>
      <c r="D423" s="15"/>
      <c r="E423" s="16"/>
      <c r="F423" s="17"/>
      <c r="G423" s="17"/>
      <c r="H423" s="14"/>
      <c r="I423" s="17"/>
      <c r="J423" s="15"/>
      <c r="K423" s="15"/>
      <c r="L423" s="15"/>
      <c r="M423" s="9">
        <f>IF($A423="","",IF(LEFT($B423,5)="LEAPS",$D423,$C423)*100*$E423)</f>
      </c>
      <c r="N423" s="10">
        <f>IF(OR($A423="",ISNUMBER(MATCH(LOWER($H423),{"open",""},0))),"",IF(LEFT($B423,5)="LEAPS",-1,1)*($D423-IF(ISNUMBER(MATCH(LOWER($H423),{"closed"},0)),$J423,0))*100*$E423-$K423-$L423)</f>
      </c>
      <c r="O423" s="11">
        <f>IF(OR($A423="",$F423=""),"",MAX(1,IF(ISNUMBER(MATCH(LOWER($H423),{"open",""},0)),MIN(TODAY(),$G423),IF($I423="",$G423,$I423))-$F423))</f>
      </c>
      <c r="P423" s="12">
        <f>IF(OR($N423="",$M423="",$M423=0),"",$N423/$M423)</f>
      </c>
      <c r="Q423" s="12">
        <f>IF(OR($P423="",$O423=""),"",$P423*365/$O423)</f>
      </c>
      <c r="R423">
        <f>IF($N423="",0,$M423*$O423)</f>
      </c>
      <c r="S423">
        <f>IF(OR($A423="",LEFT($B423,5)="LEAPS"),0,$D423*100*$E423)</f>
      </c>
    </row>
    <row r="424" spans="1:19" x14ac:dyDescent="0.25">
      <c r="A424" s="13"/>
      <c r="B424" s="14"/>
      <c r="C424" s="15"/>
      <c r="D424" s="15"/>
      <c r="E424" s="16"/>
      <c r="F424" s="17"/>
      <c r="G424" s="17"/>
      <c r="H424" s="14"/>
      <c r="I424" s="17"/>
      <c r="J424" s="15"/>
      <c r="K424" s="15"/>
      <c r="L424" s="15"/>
      <c r="M424" s="9">
        <f>IF($A424="","",IF(LEFT($B424,5)="LEAPS",$D424,$C424)*100*$E424)</f>
      </c>
      <c r="N424" s="10">
        <f>IF(OR($A424="",ISNUMBER(MATCH(LOWER($H424),{"open",""},0))),"",IF(LEFT($B424,5)="LEAPS",-1,1)*($D424-IF(ISNUMBER(MATCH(LOWER($H424),{"closed"},0)),$J424,0))*100*$E424-$K424-$L424)</f>
      </c>
      <c r="O424" s="11">
        <f>IF(OR($A424="",$F424=""),"",MAX(1,IF(ISNUMBER(MATCH(LOWER($H424),{"open",""},0)),MIN(TODAY(),$G424),IF($I424="",$G424,$I424))-$F424))</f>
      </c>
      <c r="P424" s="12">
        <f>IF(OR($N424="",$M424="",$M424=0),"",$N424/$M424)</f>
      </c>
      <c r="Q424" s="12">
        <f>IF(OR($P424="",$O424=""),"",$P424*365/$O424)</f>
      </c>
      <c r="R424">
        <f>IF($N424="",0,$M424*$O424)</f>
      </c>
      <c r="S424">
        <f>IF(OR($A424="",LEFT($B424,5)="LEAPS"),0,$D424*100*$E424)</f>
      </c>
    </row>
    <row r="425" spans="1:19" x14ac:dyDescent="0.25">
      <c r="A425" s="13"/>
      <c r="B425" s="14"/>
      <c r="C425" s="15"/>
      <c r="D425" s="15"/>
      <c r="E425" s="16"/>
      <c r="F425" s="17"/>
      <c r="G425" s="17"/>
      <c r="H425" s="14"/>
      <c r="I425" s="17"/>
      <c r="J425" s="15"/>
      <c r="K425" s="15"/>
      <c r="L425" s="15"/>
      <c r="M425" s="9">
        <f>IF($A425="","",IF(LEFT($B425,5)="LEAPS",$D425,$C425)*100*$E425)</f>
      </c>
      <c r="N425" s="10">
        <f>IF(OR($A425="",ISNUMBER(MATCH(LOWER($H425),{"open",""},0))),"",IF(LEFT($B425,5)="LEAPS",-1,1)*($D425-IF(ISNUMBER(MATCH(LOWER($H425),{"closed"},0)),$J425,0))*100*$E425-$K425-$L425)</f>
      </c>
      <c r="O425" s="11">
        <f>IF(OR($A425="",$F425=""),"",MAX(1,IF(ISNUMBER(MATCH(LOWER($H425),{"open",""},0)),MIN(TODAY(),$G425),IF($I425="",$G425,$I425))-$F425))</f>
      </c>
      <c r="P425" s="12">
        <f>IF(OR($N425="",$M425="",$M425=0),"",$N425/$M425)</f>
      </c>
      <c r="Q425" s="12">
        <f>IF(OR($P425="",$O425=""),"",$P425*365/$O425)</f>
      </c>
      <c r="R425">
        <f>IF($N425="",0,$M425*$O425)</f>
      </c>
      <c r="S425">
        <f>IF(OR($A425="",LEFT($B425,5)="LEAPS"),0,$D425*100*$E425)</f>
      </c>
    </row>
    <row r="426" spans="1:19" x14ac:dyDescent="0.25">
      <c r="A426" s="13"/>
      <c r="B426" s="14"/>
      <c r="C426" s="15"/>
      <c r="D426" s="15"/>
      <c r="E426" s="16"/>
      <c r="F426" s="17"/>
      <c r="G426" s="17"/>
      <c r="H426" s="14"/>
      <c r="I426" s="17"/>
      <c r="J426" s="15"/>
      <c r="K426" s="15"/>
      <c r="L426" s="15"/>
      <c r="M426" s="9">
        <f>IF($A426="","",IF(LEFT($B426,5)="LEAPS",$D426,$C426)*100*$E426)</f>
      </c>
      <c r="N426" s="10">
        <f>IF(OR($A426="",ISNUMBER(MATCH(LOWER($H426),{"open",""},0))),"",IF(LEFT($B426,5)="LEAPS",-1,1)*($D426-IF(ISNUMBER(MATCH(LOWER($H426),{"closed"},0)),$J426,0))*100*$E426-$K426-$L426)</f>
      </c>
      <c r="O426" s="11">
        <f>IF(OR($A426="",$F426=""),"",MAX(1,IF(ISNUMBER(MATCH(LOWER($H426),{"open",""},0)),MIN(TODAY(),$G426),IF($I426="",$G426,$I426))-$F426))</f>
      </c>
      <c r="P426" s="12">
        <f>IF(OR($N426="",$M426="",$M426=0),"",$N426/$M426)</f>
      </c>
      <c r="Q426" s="12">
        <f>IF(OR($P426="",$O426=""),"",$P426*365/$O426)</f>
      </c>
      <c r="R426">
        <f>IF($N426="",0,$M426*$O426)</f>
      </c>
      <c r="S426">
        <f>IF(OR($A426="",LEFT($B426,5)="LEAPS"),0,$D426*100*$E426)</f>
      </c>
    </row>
    <row r="427" spans="1:19" x14ac:dyDescent="0.25">
      <c r="A427" s="13"/>
      <c r="B427" s="14"/>
      <c r="C427" s="15"/>
      <c r="D427" s="15"/>
      <c r="E427" s="16"/>
      <c r="F427" s="17"/>
      <c r="G427" s="17"/>
      <c r="H427" s="14"/>
      <c r="I427" s="17"/>
      <c r="J427" s="15"/>
      <c r="K427" s="15"/>
      <c r="L427" s="15"/>
      <c r="M427" s="9">
        <f>IF($A427="","",IF(LEFT($B427,5)="LEAPS",$D427,$C427)*100*$E427)</f>
      </c>
      <c r="N427" s="10">
        <f>IF(OR($A427="",ISNUMBER(MATCH(LOWER($H427),{"open",""},0))),"",IF(LEFT($B427,5)="LEAPS",-1,1)*($D427-IF(ISNUMBER(MATCH(LOWER($H427),{"closed"},0)),$J427,0))*100*$E427-$K427-$L427)</f>
      </c>
      <c r="O427" s="11">
        <f>IF(OR($A427="",$F427=""),"",MAX(1,IF(ISNUMBER(MATCH(LOWER($H427),{"open",""},0)),MIN(TODAY(),$G427),IF($I427="",$G427,$I427))-$F427))</f>
      </c>
      <c r="P427" s="12">
        <f>IF(OR($N427="",$M427="",$M427=0),"",$N427/$M427)</f>
      </c>
      <c r="Q427" s="12">
        <f>IF(OR($P427="",$O427=""),"",$P427*365/$O427)</f>
      </c>
      <c r="R427">
        <f>IF($N427="",0,$M427*$O427)</f>
      </c>
      <c r="S427">
        <f>IF(OR($A427="",LEFT($B427,5)="LEAPS"),0,$D427*100*$E427)</f>
      </c>
    </row>
    <row r="428" spans="1:19" x14ac:dyDescent="0.25">
      <c r="A428" s="13"/>
      <c r="B428" s="14"/>
      <c r="C428" s="15"/>
      <c r="D428" s="15"/>
      <c r="E428" s="16"/>
      <c r="F428" s="17"/>
      <c r="G428" s="17"/>
      <c r="H428" s="14"/>
      <c r="I428" s="17"/>
      <c r="J428" s="15"/>
      <c r="K428" s="15"/>
      <c r="L428" s="15"/>
      <c r="M428" s="9">
        <f>IF($A428="","",IF(LEFT($B428,5)="LEAPS",$D428,$C428)*100*$E428)</f>
      </c>
      <c r="N428" s="10">
        <f>IF(OR($A428="",ISNUMBER(MATCH(LOWER($H428),{"open",""},0))),"",IF(LEFT($B428,5)="LEAPS",-1,1)*($D428-IF(ISNUMBER(MATCH(LOWER($H428),{"closed"},0)),$J428,0))*100*$E428-$K428-$L428)</f>
      </c>
      <c r="O428" s="11">
        <f>IF(OR($A428="",$F428=""),"",MAX(1,IF(ISNUMBER(MATCH(LOWER($H428),{"open",""},0)),MIN(TODAY(),$G428),IF($I428="",$G428,$I428))-$F428))</f>
      </c>
      <c r="P428" s="12">
        <f>IF(OR($N428="",$M428="",$M428=0),"",$N428/$M428)</f>
      </c>
      <c r="Q428" s="12">
        <f>IF(OR($P428="",$O428=""),"",$P428*365/$O428)</f>
      </c>
      <c r="R428">
        <f>IF($N428="",0,$M428*$O428)</f>
      </c>
      <c r="S428">
        <f>IF(OR($A428="",LEFT($B428,5)="LEAPS"),0,$D428*100*$E428)</f>
      </c>
    </row>
    <row r="429" spans="1:19" x14ac:dyDescent="0.25">
      <c r="A429" s="13"/>
      <c r="B429" s="14"/>
      <c r="C429" s="15"/>
      <c r="D429" s="15"/>
      <c r="E429" s="16"/>
      <c r="F429" s="17"/>
      <c r="G429" s="17"/>
      <c r="H429" s="14"/>
      <c r="I429" s="17"/>
      <c r="J429" s="15"/>
      <c r="K429" s="15"/>
      <c r="L429" s="15"/>
      <c r="M429" s="9">
        <f>IF($A429="","",IF(LEFT($B429,5)="LEAPS",$D429,$C429)*100*$E429)</f>
      </c>
      <c r="N429" s="10">
        <f>IF(OR($A429="",ISNUMBER(MATCH(LOWER($H429),{"open",""},0))),"",IF(LEFT($B429,5)="LEAPS",-1,1)*($D429-IF(ISNUMBER(MATCH(LOWER($H429),{"closed"},0)),$J429,0))*100*$E429-$K429-$L429)</f>
      </c>
      <c r="O429" s="11">
        <f>IF(OR($A429="",$F429=""),"",MAX(1,IF(ISNUMBER(MATCH(LOWER($H429),{"open",""},0)),MIN(TODAY(),$G429),IF($I429="",$G429,$I429))-$F429))</f>
      </c>
      <c r="P429" s="12">
        <f>IF(OR($N429="",$M429="",$M429=0),"",$N429/$M429)</f>
      </c>
      <c r="Q429" s="12">
        <f>IF(OR($P429="",$O429=""),"",$P429*365/$O429)</f>
      </c>
      <c r="R429">
        <f>IF($N429="",0,$M429*$O429)</f>
      </c>
      <c r="S429">
        <f>IF(OR($A429="",LEFT($B429,5)="LEAPS"),0,$D429*100*$E429)</f>
      </c>
    </row>
    <row r="430" spans="1:19" x14ac:dyDescent="0.25">
      <c r="A430" s="13"/>
      <c r="B430" s="14"/>
      <c r="C430" s="15"/>
      <c r="D430" s="15"/>
      <c r="E430" s="16"/>
      <c r="F430" s="17"/>
      <c r="G430" s="17"/>
      <c r="H430" s="14"/>
      <c r="I430" s="17"/>
      <c r="J430" s="15"/>
      <c r="K430" s="15"/>
      <c r="L430" s="15"/>
      <c r="M430" s="9">
        <f>IF($A430="","",IF(LEFT($B430,5)="LEAPS",$D430,$C430)*100*$E430)</f>
      </c>
      <c r="N430" s="10">
        <f>IF(OR($A430="",ISNUMBER(MATCH(LOWER($H430),{"open",""},0))),"",IF(LEFT($B430,5)="LEAPS",-1,1)*($D430-IF(ISNUMBER(MATCH(LOWER($H430),{"closed"},0)),$J430,0))*100*$E430-$K430-$L430)</f>
      </c>
      <c r="O430" s="11">
        <f>IF(OR($A430="",$F430=""),"",MAX(1,IF(ISNUMBER(MATCH(LOWER($H430),{"open",""},0)),MIN(TODAY(),$G430),IF($I430="",$G430,$I430))-$F430))</f>
      </c>
      <c r="P430" s="12">
        <f>IF(OR($N430="",$M430="",$M430=0),"",$N430/$M430)</f>
      </c>
      <c r="Q430" s="12">
        <f>IF(OR($P430="",$O430=""),"",$P430*365/$O430)</f>
      </c>
      <c r="R430">
        <f>IF($N430="",0,$M430*$O430)</f>
      </c>
      <c r="S430">
        <f>IF(OR($A430="",LEFT($B430,5)="LEAPS"),0,$D430*100*$E430)</f>
      </c>
    </row>
    <row r="431" spans="1:19" x14ac:dyDescent="0.25">
      <c r="A431" s="13"/>
      <c r="B431" s="14"/>
      <c r="C431" s="15"/>
      <c r="D431" s="15"/>
      <c r="E431" s="16"/>
      <c r="F431" s="17"/>
      <c r="G431" s="17"/>
      <c r="H431" s="14"/>
      <c r="I431" s="17"/>
      <c r="J431" s="15"/>
      <c r="K431" s="15"/>
      <c r="L431" s="15"/>
      <c r="M431" s="9">
        <f>IF($A431="","",IF(LEFT($B431,5)="LEAPS",$D431,$C431)*100*$E431)</f>
      </c>
      <c r="N431" s="10">
        <f>IF(OR($A431="",ISNUMBER(MATCH(LOWER($H431),{"open",""},0))),"",IF(LEFT($B431,5)="LEAPS",-1,1)*($D431-IF(ISNUMBER(MATCH(LOWER($H431),{"closed"},0)),$J431,0))*100*$E431-$K431-$L431)</f>
      </c>
      <c r="O431" s="11">
        <f>IF(OR($A431="",$F431=""),"",MAX(1,IF(ISNUMBER(MATCH(LOWER($H431),{"open",""},0)),MIN(TODAY(),$G431),IF($I431="",$G431,$I431))-$F431))</f>
      </c>
      <c r="P431" s="12">
        <f>IF(OR($N431="",$M431="",$M431=0),"",$N431/$M431)</f>
      </c>
      <c r="Q431" s="12">
        <f>IF(OR($P431="",$O431=""),"",$P431*365/$O431)</f>
      </c>
      <c r="R431">
        <f>IF($N431="",0,$M431*$O431)</f>
      </c>
      <c r="S431">
        <f>IF(OR($A431="",LEFT($B431,5)="LEAPS"),0,$D431*100*$E431)</f>
      </c>
    </row>
    <row r="432" spans="1:19" x14ac:dyDescent="0.25">
      <c r="A432" s="13"/>
      <c r="B432" s="14"/>
      <c r="C432" s="15"/>
      <c r="D432" s="15"/>
      <c r="E432" s="16"/>
      <c r="F432" s="17"/>
      <c r="G432" s="17"/>
      <c r="H432" s="14"/>
      <c r="I432" s="17"/>
      <c r="J432" s="15"/>
      <c r="K432" s="15"/>
      <c r="L432" s="15"/>
      <c r="M432" s="9">
        <f>IF($A432="","",IF(LEFT($B432,5)="LEAPS",$D432,$C432)*100*$E432)</f>
      </c>
      <c r="N432" s="10">
        <f>IF(OR($A432="",ISNUMBER(MATCH(LOWER($H432),{"open",""},0))),"",IF(LEFT($B432,5)="LEAPS",-1,1)*($D432-IF(ISNUMBER(MATCH(LOWER($H432),{"closed"},0)),$J432,0))*100*$E432-$K432-$L432)</f>
      </c>
      <c r="O432" s="11">
        <f>IF(OR($A432="",$F432=""),"",MAX(1,IF(ISNUMBER(MATCH(LOWER($H432),{"open",""},0)),MIN(TODAY(),$G432),IF($I432="",$G432,$I432))-$F432))</f>
      </c>
      <c r="P432" s="12">
        <f>IF(OR($N432="",$M432="",$M432=0),"",$N432/$M432)</f>
      </c>
      <c r="Q432" s="12">
        <f>IF(OR($P432="",$O432=""),"",$P432*365/$O432)</f>
      </c>
      <c r="R432">
        <f>IF($N432="",0,$M432*$O432)</f>
      </c>
      <c r="S432">
        <f>IF(OR($A432="",LEFT($B432,5)="LEAPS"),0,$D432*100*$E432)</f>
      </c>
    </row>
    <row r="433" spans="1:19" x14ac:dyDescent="0.25">
      <c r="A433" s="13"/>
      <c r="B433" s="14"/>
      <c r="C433" s="15"/>
      <c r="D433" s="15"/>
      <c r="E433" s="16"/>
      <c r="F433" s="17"/>
      <c r="G433" s="17"/>
      <c r="H433" s="14"/>
      <c r="I433" s="17"/>
      <c r="J433" s="15"/>
      <c r="K433" s="15"/>
      <c r="L433" s="15"/>
      <c r="M433" s="9">
        <f>IF($A433="","",IF(LEFT($B433,5)="LEAPS",$D433,$C433)*100*$E433)</f>
      </c>
      <c r="N433" s="10">
        <f>IF(OR($A433="",ISNUMBER(MATCH(LOWER($H433),{"open",""},0))),"",IF(LEFT($B433,5)="LEAPS",-1,1)*($D433-IF(ISNUMBER(MATCH(LOWER($H433),{"closed"},0)),$J433,0))*100*$E433-$K433-$L433)</f>
      </c>
      <c r="O433" s="11">
        <f>IF(OR($A433="",$F433=""),"",MAX(1,IF(ISNUMBER(MATCH(LOWER($H433),{"open",""},0)),MIN(TODAY(),$G433),IF($I433="",$G433,$I433))-$F433))</f>
      </c>
      <c r="P433" s="12">
        <f>IF(OR($N433="",$M433="",$M433=0),"",$N433/$M433)</f>
      </c>
      <c r="Q433" s="12">
        <f>IF(OR($P433="",$O433=""),"",$P433*365/$O433)</f>
      </c>
      <c r="R433">
        <f>IF($N433="",0,$M433*$O433)</f>
      </c>
      <c r="S433">
        <f>IF(OR($A433="",LEFT($B433,5)="LEAPS"),0,$D433*100*$E433)</f>
      </c>
    </row>
    <row r="434" spans="1:19" x14ac:dyDescent="0.25">
      <c r="A434" s="13"/>
      <c r="B434" s="14"/>
      <c r="C434" s="15"/>
      <c r="D434" s="15"/>
      <c r="E434" s="16"/>
      <c r="F434" s="17"/>
      <c r="G434" s="17"/>
      <c r="H434" s="14"/>
      <c r="I434" s="17"/>
      <c r="J434" s="15"/>
      <c r="K434" s="15"/>
      <c r="L434" s="15"/>
      <c r="M434" s="9">
        <f>IF($A434="","",IF(LEFT($B434,5)="LEAPS",$D434,$C434)*100*$E434)</f>
      </c>
      <c r="N434" s="10">
        <f>IF(OR($A434="",ISNUMBER(MATCH(LOWER($H434),{"open",""},0))),"",IF(LEFT($B434,5)="LEAPS",-1,1)*($D434-IF(ISNUMBER(MATCH(LOWER($H434),{"closed"},0)),$J434,0))*100*$E434-$K434-$L434)</f>
      </c>
      <c r="O434" s="11">
        <f>IF(OR($A434="",$F434=""),"",MAX(1,IF(ISNUMBER(MATCH(LOWER($H434),{"open",""},0)),MIN(TODAY(),$G434),IF($I434="",$G434,$I434))-$F434))</f>
      </c>
      <c r="P434" s="12">
        <f>IF(OR($N434="",$M434="",$M434=0),"",$N434/$M434)</f>
      </c>
      <c r="Q434" s="12">
        <f>IF(OR($P434="",$O434=""),"",$P434*365/$O434)</f>
      </c>
      <c r="R434">
        <f>IF($N434="",0,$M434*$O434)</f>
      </c>
      <c r="S434">
        <f>IF(OR($A434="",LEFT($B434,5)="LEAPS"),0,$D434*100*$E434)</f>
      </c>
    </row>
    <row r="435" spans="1:19" x14ac:dyDescent="0.25">
      <c r="A435" s="13"/>
      <c r="B435" s="14"/>
      <c r="C435" s="15"/>
      <c r="D435" s="15"/>
      <c r="E435" s="16"/>
      <c r="F435" s="17"/>
      <c r="G435" s="17"/>
      <c r="H435" s="14"/>
      <c r="I435" s="17"/>
      <c r="J435" s="15"/>
      <c r="K435" s="15"/>
      <c r="L435" s="15"/>
      <c r="M435" s="9">
        <f>IF($A435="","",IF(LEFT($B435,5)="LEAPS",$D435,$C435)*100*$E435)</f>
      </c>
      <c r="N435" s="10">
        <f>IF(OR($A435="",ISNUMBER(MATCH(LOWER($H435),{"open",""},0))),"",IF(LEFT($B435,5)="LEAPS",-1,1)*($D435-IF(ISNUMBER(MATCH(LOWER($H435),{"closed"},0)),$J435,0))*100*$E435-$K435-$L435)</f>
      </c>
      <c r="O435" s="11">
        <f>IF(OR($A435="",$F435=""),"",MAX(1,IF(ISNUMBER(MATCH(LOWER($H435),{"open",""},0)),MIN(TODAY(),$G435),IF($I435="",$G435,$I435))-$F435))</f>
      </c>
      <c r="P435" s="12">
        <f>IF(OR($N435="",$M435="",$M435=0),"",$N435/$M435)</f>
      </c>
      <c r="Q435" s="12">
        <f>IF(OR($P435="",$O435=""),"",$P435*365/$O435)</f>
      </c>
      <c r="R435">
        <f>IF($N435="",0,$M435*$O435)</f>
      </c>
      <c r="S435">
        <f>IF(OR($A435="",LEFT($B435,5)="LEAPS"),0,$D435*100*$E435)</f>
      </c>
    </row>
    <row r="436" spans="1:19" x14ac:dyDescent="0.25">
      <c r="A436" s="13"/>
      <c r="B436" s="14"/>
      <c r="C436" s="15"/>
      <c r="D436" s="15"/>
      <c r="E436" s="16"/>
      <c r="F436" s="17"/>
      <c r="G436" s="17"/>
      <c r="H436" s="14"/>
      <c r="I436" s="17"/>
      <c r="J436" s="15"/>
      <c r="K436" s="15"/>
      <c r="L436" s="15"/>
      <c r="M436" s="9">
        <f>IF($A436="","",IF(LEFT($B436,5)="LEAPS",$D436,$C436)*100*$E436)</f>
      </c>
      <c r="N436" s="10">
        <f>IF(OR($A436="",ISNUMBER(MATCH(LOWER($H436),{"open",""},0))),"",IF(LEFT($B436,5)="LEAPS",-1,1)*($D436-IF(ISNUMBER(MATCH(LOWER($H436),{"closed"},0)),$J436,0))*100*$E436-$K436-$L436)</f>
      </c>
      <c r="O436" s="11">
        <f>IF(OR($A436="",$F436=""),"",MAX(1,IF(ISNUMBER(MATCH(LOWER($H436),{"open",""},0)),MIN(TODAY(),$G436),IF($I436="",$G436,$I436))-$F436))</f>
      </c>
      <c r="P436" s="12">
        <f>IF(OR($N436="",$M436="",$M436=0),"",$N436/$M436)</f>
      </c>
      <c r="Q436" s="12">
        <f>IF(OR($P436="",$O436=""),"",$P436*365/$O436)</f>
      </c>
      <c r="R436">
        <f>IF($N436="",0,$M436*$O436)</f>
      </c>
      <c r="S436">
        <f>IF(OR($A436="",LEFT($B436,5)="LEAPS"),0,$D436*100*$E436)</f>
      </c>
    </row>
    <row r="437" spans="1:19" x14ac:dyDescent="0.25">
      <c r="A437" s="13"/>
      <c r="B437" s="14"/>
      <c r="C437" s="15"/>
      <c r="D437" s="15"/>
      <c r="E437" s="16"/>
      <c r="F437" s="17"/>
      <c r="G437" s="17"/>
      <c r="H437" s="14"/>
      <c r="I437" s="17"/>
      <c r="J437" s="15"/>
      <c r="K437" s="15"/>
      <c r="L437" s="15"/>
      <c r="M437" s="9">
        <f>IF($A437="","",IF(LEFT($B437,5)="LEAPS",$D437,$C437)*100*$E437)</f>
      </c>
      <c r="N437" s="10">
        <f>IF(OR($A437="",ISNUMBER(MATCH(LOWER($H437),{"open",""},0))),"",IF(LEFT($B437,5)="LEAPS",-1,1)*($D437-IF(ISNUMBER(MATCH(LOWER($H437),{"closed"},0)),$J437,0))*100*$E437-$K437-$L437)</f>
      </c>
      <c r="O437" s="11">
        <f>IF(OR($A437="",$F437=""),"",MAX(1,IF(ISNUMBER(MATCH(LOWER($H437),{"open",""},0)),MIN(TODAY(),$G437),IF($I437="",$G437,$I437))-$F437))</f>
      </c>
      <c r="P437" s="12">
        <f>IF(OR($N437="",$M437="",$M437=0),"",$N437/$M437)</f>
      </c>
      <c r="Q437" s="12">
        <f>IF(OR($P437="",$O437=""),"",$P437*365/$O437)</f>
      </c>
      <c r="R437">
        <f>IF($N437="",0,$M437*$O437)</f>
      </c>
      <c r="S437">
        <f>IF(OR($A437="",LEFT($B437,5)="LEAPS"),0,$D437*100*$E437)</f>
      </c>
    </row>
    <row r="438" spans="1:19" x14ac:dyDescent="0.25">
      <c r="A438" s="13"/>
      <c r="B438" s="14"/>
      <c r="C438" s="15"/>
      <c r="D438" s="15"/>
      <c r="E438" s="16"/>
      <c r="F438" s="17"/>
      <c r="G438" s="17"/>
      <c r="H438" s="14"/>
      <c r="I438" s="17"/>
      <c r="J438" s="15"/>
      <c r="K438" s="15"/>
      <c r="L438" s="15"/>
      <c r="M438" s="9">
        <f>IF($A438="","",IF(LEFT($B438,5)="LEAPS",$D438,$C438)*100*$E438)</f>
      </c>
      <c r="N438" s="10">
        <f>IF(OR($A438="",ISNUMBER(MATCH(LOWER($H438),{"open",""},0))),"",IF(LEFT($B438,5)="LEAPS",-1,1)*($D438-IF(ISNUMBER(MATCH(LOWER($H438),{"closed"},0)),$J438,0))*100*$E438-$K438-$L438)</f>
      </c>
      <c r="O438" s="11">
        <f>IF(OR($A438="",$F438=""),"",MAX(1,IF(ISNUMBER(MATCH(LOWER($H438),{"open",""},0)),MIN(TODAY(),$G438),IF($I438="",$G438,$I438))-$F438))</f>
      </c>
      <c r="P438" s="12">
        <f>IF(OR($N438="",$M438="",$M438=0),"",$N438/$M438)</f>
      </c>
      <c r="Q438" s="12">
        <f>IF(OR($P438="",$O438=""),"",$P438*365/$O438)</f>
      </c>
      <c r="R438">
        <f>IF($N438="",0,$M438*$O438)</f>
      </c>
      <c r="S438">
        <f>IF(OR($A438="",LEFT($B438,5)="LEAPS"),0,$D438*100*$E438)</f>
      </c>
    </row>
    <row r="439" spans="1:19" x14ac:dyDescent="0.25">
      <c r="A439" s="13"/>
      <c r="B439" s="14"/>
      <c r="C439" s="15"/>
      <c r="D439" s="15"/>
      <c r="E439" s="16"/>
      <c r="F439" s="17"/>
      <c r="G439" s="17"/>
      <c r="H439" s="14"/>
      <c r="I439" s="17"/>
      <c r="J439" s="15"/>
      <c r="K439" s="15"/>
      <c r="L439" s="15"/>
      <c r="M439" s="9">
        <f>IF($A439="","",IF(LEFT($B439,5)="LEAPS",$D439,$C439)*100*$E439)</f>
      </c>
      <c r="N439" s="10">
        <f>IF(OR($A439="",ISNUMBER(MATCH(LOWER($H439),{"open",""},0))),"",IF(LEFT($B439,5)="LEAPS",-1,1)*($D439-IF(ISNUMBER(MATCH(LOWER($H439),{"closed"},0)),$J439,0))*100*$E439-$K439-$L439)</f>
      </c>
      <c r="O439" s="11">
        <f>IF(OR($A439="",$F439=""),"",MAX(1,IF(ISNUMBER(MATCH(LOWER($H439),{"open",""},0)),MIN(TODAY(),$G439),IF($I439="",$G439,$I439))-$F439))</f>
      </c>
      <c r="P439" s="12">
        <f>IF(OR($N439="",$M439="",$M439=0),"",$N439/$M439)</f>
      </c>
      <c r="Q439" s="12">
        <f>IF(OR($P439="",$O439=""),"",$P439*365/$O439)</f>
      </c>
      <c r="R439">
        <f>IF($N439="",0,$M439*$O439)</f>
      </c>
      <c r="S439">
        <f>IF(OR($A439="",LEFT($B439,5)="LEAPS"),0,$D439*100*$E439)</f>
      </c>
    </row>
    <row r="440" spans="1:19" x14ac:dyDescent="0.25">
      <c r="A440" s="13"/>
      <c r="B440" s="14"/>
      <c r="C440" s="15"/>
      <c r="D440" s="15"/>
      <c r="E440" s="16"/>
      <c r="F440" s="17"/>
      <c r="G440" s="17"/>
      <c r="H440" s="14"/>
      <c r="I440" s="17"/>
      <c r="J440" s="15"/>
      <c r="K440" s="15"/>
      <c r="L440" s="15"/>
      <c r="M440" s="9">
        <f>IF($A440="","",IF(LEFT($B440,5)="LEAPS",$D440,$C440)*100*$E440)</f>
      </c>
      <c r="N440" s="10">
        <f>IF(OR($A440="",ISNUMBER(MATCH(LOWER($H440),{"open",""},0))),"",IF(LEFT($B440,5)="LEAPS",-1,1)*($D440-IF(ISNUMBER(MATCH(LOWER($H440),{"closed"},0)),$J440,0))*100*$E440-$K440-$L440)</f>
      </c>
      <c r="O440" s="11">
        <f>IF(OR($A440="",$F440=""),"",MAX(1,IF(ISNUMBER(MATCH(LOWER($H440),{"open",""},0)),MIN(TODAY(),$G440),IF($I440="",$G440,$I440))-$F440))</f>
      </c>
      <c r="P440" s="12">
        <f>IF(OR($N440="",$M440="",$M440=0),"",$N440/$M440)</f>
      </c>
      <c r="Q440" s="12">
        <f>IF(OR($P440="",$O440=""),"",$P440*365/$O440)</f>
      </c>
      <c r="R440">
        <f>IF($N440="",0,$M440*$O440)</f>
      </c>
      <c r="S440">
        <f>IF(OR($A440="",LEFT($B440,5)="LEAPS"),0,$D440*100*$E440)</f>
      </c>
    </row>
    <row r="441" spans="1:19" x14ac:dyDescent="0.25">
      <c r="A441" s="13"/>
      <c r="B441" s="14"/>
      <c r="C441" s="15"/>
      <c r="D441" s="15"/>
      <c r="E441" s="16"/>
      <c r="F441" s="17"/>
      <c r="G441" s="17"/>
      <c r="H441" s="14"/>
      <c r="I441" s="17"/>
      <c r="J441" s="15"/>
      <c r="K441" s="15"/>
      <c r="L441" s="15"/>
      <c r="M441" s="9">
        <f>IF($A441="","",IF(LEFT($B441,5)="LEAPS",$D441,$C441)*100*$E441)</f>
      </c>
      <c r="N441" s="10">
        <f>IF(OR($A441="",ISNUMBER(MATCH(LOWER($H441),{"open",""},0))),"",IF(LEFT($B441,5)="LEAPS",-1,1)*($D441-IF(ISNUMBER(MATCH(LOWER($H441),{"closed"},0)),$J441,0))*100*$E441-$K441-$L441)</f>
      </c>
      <c r="O441" s="11">
        <f>IF(OR($A441="",$F441=""),"",MAX(1,IF(ISNUMBER(MATCH(LOWER($H441),{"open",""},0)),MIN(TODAY(),$G441),IF($I441="",$G441,$I441))-$F441))</f>
      </c>
      <c r="P441" s="12">
        <f>IF(OR($N441="",$M441="",$M441=0),"",$N441/$M441)</f>
      </c>
      <c r="Q441" s="12">
        <f>IF(OR($P441="",$O441=""),"",$P441*365/$O441)</f>
      </c>
      <c r="R441">
        <f>IF($N441="",0,$M441*$O441)</f>
      </c>
      <c r="S441">
        <f>IF(OR($A441="",LEFT($B441,5)="LEAPS"),0,$D441*100*$E441)</f>
      </c>
    </row>
    <row r="442" spans="1:19" x14ac:dyDescent="0.25">
      <c r="A442" s="13"/>
      <c r="B442" s="14"/>
      <c r="C442" s="15"/>
      <c r="D442" s="15"/>
      <c r="E442" s="16"/>
      <c r="F442" s="17"/>
      <c r="G442" s="17"/>
      <c r="H442" s="14"/>
      <c r="I442" s="17"/>
      <c r="J442" s="15"/>
      <c r="K442" s="15"/>
      <c r="L442" s="15"/>
      <c r="M442" s="9">
        <f>IF($A442="","",IF(LEFT($B442,5)="LEAPS",$D442,$C442)*100*$E442)</f>
      </c>
      <c r="N442" s="10">
        <f>IF(OR($A442="",ISNUMBER(MATCH(LOWER($H442),{"open",""},0))),"",IF(LEFT($B442,5)="LEAPS",-1,1)*($D442-IF(ISNUMBER(MATCH(LOWER($H442),{"closed"},0)),$J442,0))*100*$E442-$K442-$L442)</f>
      </c>
      <c r="O442" s="11">
        <f>IF(OR($A442="",$F442=""),"",MAX(1,IF(ISNUMBER(MATCH(LOWER($H442),{"open",""},0)),MIN(TODAY(),$G442),IF($I442="",$G442,$I442))-$F442))</f>
      </c>
      <c r="P442" s="12">
        <f>IF(OR($N442="",$M442="",$M442=0),"",$N442/$M442)</f>
      </c>
      <c r="Q442" s="12">
        <f>IF(OR($P442="",$O442=""),"",$P442*365/$O442)</f>
      </c>
      <c r="R442">
        <f>IF($N442="",0,$M442*$O442)</f>
      </c>
      <c r="S442">
        <f>IF(OR($A442="",LEFT($B442,5)="LEAPS"),0,$D442*100*$E442)</f>
      </c>
    </row>
    <row r="443" spans="1:19" x14ac:dyDescent="0.25">
      <c r="A443" s="13"/>
      <c r="B443" s="14"/>
      <c r="C443" s="15"/>
      <c r="D443" s="15"/>
      <c r="E443" s="16"/>
      <c r="F443" s="17"/>
      <c r="G443" s="17"/>
      <c r="H443" s="14"/>
      <c r="I443" s="17"/>
      <c r="J443" s="15"/>
      <c r="K443" s="15"/>
      <c r="L443" s="15"/>
      <c r="M443" s="9">
        <f>IF($A443="","",IF(LEFT($B443,5)="LEAPS",$D443,$C443)*100*$E443)</f>
      </c>
      <c r="N443" s="10">
        <f>IF(OR($A443="",ISNUMBER(MATCH(LOWER($H443),{"open",""},0))),"",IF(LEFT($B443,5)="LEAPS",-1,1)*($D443-IF(ISNUMBER(MATCH(LOWER($H443),{"closed"},0)),$J443,0))*100*$E443-$K443-$L443)</f>
      </c>
      <c r="O443" s="11">
        <f>IF(OR($A443="",$F443=""),"",MAX(1,IF(ISNUMBER(MATCH(LOWER($H443),{"open",""},0)),MIN(TODAY(),$G443),IF($I443="",$G443,$I443))-$F443))</f>
      </c>
      <c r="P443" s="12">
        <f>IF(OR($N443="",$M443="",$M443=0),"",$N443/$M443)</f>
      </c>
      <c r="Q443" s="12">
        <f>IF(OR($P443="",$O443=""),"",$P443*365/$O443)</f>
      </c>
      <c r="R443">
        <f>IF($N443="",0,$M443*$O443)</f>
      </c>
      <c r="S443">
        <f>IF(OR($A443="",LEFT($B443,5)="LEAPS"),0,$D443*100*$E443)</f>
      </c>
    </row>
    <row r="444" spans="1:19" x14ac:dyDescent="0.25">
      <c r="A444" s="13"/>
      <c r="B444" s="14"/>
      <c r="C444" s="15"/>
      <c r="D444" s="15"/>
      <c r="E444" s="16"/>
      <c r="F444" s="17"/>
      <c r="G444" s="17"/>
      <c r="H444" s="14"/>
      <c r="I444" s="17"/>
      <c r="J444" s="15"/>
      <c r="K444" s="15"/>
      <c r="L444" s="15"/>
      <c r="M444" s="9">
        <f>IF($A444="","",IF(LEFT($B444,5)="LEAPS",$D444,$C444)*100*$E444)</f>
      </c>
      <c r="N444" s="10">
        <f>IF(OR($A444="",ISNUMBER(MATCH(LOWER($H444),{"open",""},0))),"",IF(LEFT($B444,5)="LEAPS",-1,1)*($D444-IF(ISNUMBER(MATCH(LOWER($H444),{"closed"},0)),$J444,0))*100*$E444-$K444-$L444)</f>
      </c>
      <c r="O444" s="11">
        <f>IF(OR($A444="",$F444=""),"",MAX(1,IF(ISNUMBER(MATCH(LOWER($H444),{"open",""},0)),MIN(TODAY(),$G444),IF($I444="",$G444,$I444))-$F444))</f>
      </c>
      <c r="P444" s="12">
        <f>IF(OR($N444="",$M444="",$M444=0),"",$N444/$M444)</f>
      </c>
      <c r="Q444" s="12">
        <f>IF(OR($P444="",$O444=""),"",$P444*365/$O444)</f>
      </c>
      <c r="R444">
        <f>IF($N444="",0,$M444*$O444)</f>
      </c>
      <c r="S444">
        <f>IF(OR($A444="",LEFT($B444,5)="LEAPS"),0,$D444*100*$E444)</f>
      </c>
    </row>
    <row r="445" spans="1:19" x14ac:dyDescent="0.25">
      <c r="A445" s="13"/>
      <c r="B445" s="14"/>
      <c r="C445" s="15"/>
      <c r="D445" s="15"/>
      <c r="E445" s="16"/>
      <c r="F445" s="17"/>
      <c r="G445" s="17"/>
      <c r="H445" s="14"/>
      <c r="I445" s="17"/>
      <c r="J445" s="15"/>
      <c r="K445" s="15"/>
      <c r="L445" s="15"/>
      <c r="M445" s="9">
        <f>IF($A445="","",IF(LEFT($B445,5)="LEAPS",$D445,$C445)*100*$E445)</f>
      </c>
      <c r="N445" s="10">
        <f>IF(OR($A445="",ISNUMBER(MATCH(LOWER($H445),{"open",""},0))),"",IF(LEFT($B445,5)="LEAPS",-1,1)*($D445-IF(ISNUMBER(MATCH(LOWER($H445),{"closed"},0)),$J445,0))*100*$E445-$K445-$L445)</f>
      </c>
      <c r="O445" s="11">
        <f>IF(OR($A445="",$F445=""),"",MAX(1,IF(ISNUMBER(MATCH(LOWER($H445),{"open",""},0)),MIN(TODAY(),$G445),IF($I445="",$G445,$I445))-$F445))</f>
      </c>
      <c r="P445" s="12">
        <f>IF(OR($N445="",$M445="",$M445=0),"",$N445/$M445)</f>
      </c>
      <c r="Q445" s="12">
        <f>IF(OR($P445="",$O445=""),"",$P445*365/$O445)</f>
      </c>
      <c r="R445">
        <f>IF($N445="",0,$M445*$O445)</f>
      </c>
      <c r="S445">
        <f>IF(OR($A445="",LEFT($B445,5)="LEAPS"),0,$D445*100*$E445)</f>
      </c>
    </row>
    <row r="446" spans="1:19" x14ac:dyDescent="0.25">
      <c r="A446" s="13"/>
      <c r="B446" s="14"/>
      <c r="C446" s="15"/>
      <c r="D446" s="15"/>
      <c r="E446" s="16"/>
      <c r="F446" s="17"/>
      <c r="G446" s="17"/>
      <c r="H446" s="14"/>
      <c r="I446" s="17"/>
      <c r="J446" s="15"/>
      <c r="K446" s="15"/>
      <c r="L446" s="15"/>
      <c r="M446" s="9">
        <f>IF($A446="","",IF(LEFT($B446,5)="LEAPS",$D446,$C446)*100*$E446)</f>
      </c>
      <c r="N446" s="10">
        <f>IF(OR($A446="",ISNUMBER(MATCH(LOWER($H446),{"open",""},0))),"",IF(LEFT($B446,5)="LEAPS",-1,1)*($D446-IF(ISNUMBER(MATCH(LOWER($H446),{"closed"},0)),$J446,0))*100*$E446-$K446-$L446)</f>
      </c>
      <c r="O446" s="11">
        <f>IF(OR($A446="",$F446=""),"",MAX(1,IF(ISNUMBER(MATCH(LOWER($H446),{"open",""},0)),MIN(TODAY(),$G446),IF($I446="",$G446,$I446))-$F446))</f>
      </c>
      <c r="P446" s="12">
        <f>IF(OR($N446="",$M446="",$M446=0),"",$N446/$M446)</f>
      </c>
      <c r="Q446" s="12">
        <f>IF(OR($P446="",$O446=""),"",$P446*365/$O446)</f>
      </c>
      <c r="R446">
        <f>IF($N446="",0,$M446*$O446)</f>
      </c>
      <c r="S446">
        <f>IF(OR($A446="",LEFT($B446,5)="LEAPS"),0,$D446*100*$E446)</f>
      </c>
    </row>
    <row r="447" spans="1:19" x14ac:dyDescent="0.25">
      <c r="A447" s="13"/>
      <c r="B447" s="14"/>
      <c r="C447" s="15"/>
      <c r="D447" s="15"/>
      <c r="E447" s="16"/>
      <c r="F447" s="17"/>
      <c r="G447" s="17"/>
      <c r="H447" s="14"/>
      <c r="I447" s="17"/>
      <c r="J447" s="15"/>
      <c r="K447" s="15"/>
      <c r="L447" s="15"/>
      <c r="M447" s="9">
        <f>IF($A447="","",IF(LEFT($B447,5)="LEAPS",$D447,$C447)*100*$E447)</f>
      </c>
      <c r="N447" s="10">
        <f>IF(OR($A447="",ISNUMBER(MATCH(LOWER($H447),{"open",""},0))),"",IF(LEFT($B447,5)="LEAPS",-1,1)*($D447-IF(ISNUMBER(MATCH(LOWER($H447),{"closed"},0)),$J447,0))*100*$E447-$K447-$L447)</f>
      </c>
      <c r="O447" s="11">
        <f>IF(OR($A447="",$F447=""),"",MAX(1,IF(ISNUMBER(MATCH(LOWER($H447),{"open",""},0)),MIN(TODAY(),$G447),IF($I447="",$G447,$I447))-$F447))</f>
      </c>
      <c r="P447" s="12">
        <f>IF(OR($N447="",$M447="",$M447=0),"",$N447/$M447)</f>
      </c>
      <c r="Q447" s="12">
        <f>IF(OR($P447="",$O447=""),"",$P447*365/$O447)</f>
      </c>
      <c r="R447">
        <f>IF($N447="",0,$M447*$O447)</f>
      </c>
      <c r="S447">
        <f>IF(OR($A447="",LEFT($B447,5)="LEAPS"),0,$D447*100*$E447)</f>
      </c>
    </row>
    <row r="448" spans="1:19" x14ac:dyDescent="0.25">
      <c r="A448" s="13"/>
      <c r="B448" s="14"/>
      <c r="C448" s="15"/>
      <c r="D448" s="15"/>
      <c r="E448" s="16"/>
      <c r="F448" s="17"/>
      <c r="G448" s="17"/>
      <c r="H448" s="14"/>
      <c r="I448" s="17"/>
      <c r="J448" s="15"/>
      <c r="K448" s="15"/>
      <c r="L448" s="15"/>
      <c r="M448" s="9">
        <f>IF($A448="","",IF(LEFT($B448,5)="LEAPS",$D448,$C448)*100*$E448)</f>
      </c>
      <c r="N448" s="10">
        <f>IF(OR($A448="",ISNUMBER(MATCH(LOWER($H448),{"open",""},0))),"",IF(LEFT($B448,5)="LEAPS",-1,1)*($D448-IF(ISNUMBER(MATCH(LOWER($H448),{"closed"},0)),$J448,0))*100*$E448-$K448-$L448)</f>
      </c>
      <c r="O448" s="11">
        <f>IF(OR($A448="",$F448=""),"",MAX(1,IF(ISNUMBER(MATCH(LOWER($H448),{"open",""},0)),MIN(TODAY(),$G448),IF($I448="",$G448,$I448))-$F448))</f>
      </c>
      <c r="P448" s="12">
        <f>IF(OR($N448="",$M448="",$M448=0),"",$N448/$M448)</f>
      </c>
      <c r="Q448" s="12">
        <f>IF(OR($P448="",$O448=""),"",$P448*365/$O448)</f>
      </c>
      <c r="R448">
        <f>IF($N448="",0,$M448*$O448)</f>
      </c>
      <c r="S448">
        <f>IF(OR($A448="",LEFT($B448,5)="LEAPS"),0,$D448*100*$E448)</f>
      </c>
    </row>
    <row r="449" spans="1:19" x14ac:dyDescent="0.25">
      <c r="A449" s="13"/>
      <c r="B449" s="14"/>
      <c r="C449" s="15"/>
      <c r="D449" s="15"/>
      <c r="E449" s="16"/>
      <c r="F449" s="17"/>
      <c r="G449" s="17"/>
      <c r="H449" s="14"/>
      <c r="I449" s="17"/>
      <c r="J449" s="15"/>
      <c r="K449" s="15"/>
      <c r="L449" s="15"/>
      <c r="M449" s="9">
        <f>IF($A449="","",IF(LEFT($B449,5)="LEAPS",$D449,$C449)*100*$E449)</f>
      </c>
      <c r="N449" s="10">
        <f>IF(OR($A449="",ISNUMBER(MATCH(LOWER($H449),{"open",""},0))),"",IF(LEFT($B449,5)="LEAPS",-1,1)*($D449-IF(ISNUMBER(MATCH(LOWER($H449),{"closed"},0)),$J449,0))*100*$E449-$K449-$L449)</f>
      </c>
      <c r="O449" s="11">
        <f>IF(OR($A449="",$F449=""),"",MAX(1,IF(ISNUMBER(MATCH(LOWER($H449),{"open",""},0)),MIN(TODAY(),$G449),IF($I449="",$G449,$I449))-$F449))</f>
      </c>
      <c r="P449" s="12">
        <f>IF(OR($N449="",$M449="",$M449=0),"",$N449/$M449)</f>
      </c>
      <c r="Q449" s="12">
        <f>IF(OR($P449="",$O449=""),"",$P449*365/$O449)</f>
      </c>
      <c r="R449">
        <f>IF($N449="",0,$M449*$O449)</f>
      </c>
      <c r="S449">
        <f>IF(OR($A449="",LEFT($B449,5)="LEAPS"),0,$D449*100*$E449)</f>
      </c>
    </row>
    <row r="450" spans="1:19" x14ac:dyDescent="0.25">
      <c r="A450" s="13"/>
      <c r="B450" s="14"/>
      <c r="C450" s="15"/>
      <c r="D450" s="15"/>
      <c r="E450" s="16"/>
      <c r="F450" s="17"/>
      <c r="G450" s="17"/>
      <c r="H450" s="14"/>
      <c r="I450" s="17"/>
      <c r="J450" s="15"/>
      <c r="K450" s="15"/>
      <c r="L450" s="15"/>
      <c r="M450" s="9">
        <f>IF($A450="","",IF(LEFT($B450,5)="LEAPS",$D450,$C450)*100*$E450)</f>
      </c>
      <c r="N450" s="10">
        <f>IF(OR($A450="",ISNUMBER(MATCH(LOWER($H450),{"open",""},0))),"",IF(LEFT($B450,5)="LEAPS",-1,1)*($D450-IF(ISNUMBER(MATCH(LOWER($H450),{"closed"},0)),$J450,0))*100*$E450-$K450-$L450)</f>
      </c>
      <c r="O450" s="11">
        <f>IF(OR($A450="",$F450=""),"",MAX(1,IF(ISNUMBER(MATCH(LOWER($H450),{"open",""},0)),MIN(TODAY(),$G450),IF($I450="",$G450,$I450))-$F450))</f>
      </c>
      <c r="P450" s="12">
        <f>IF(OR($N450="",$M450="",$M450=0),"",$N450/$M450)</f>
      </c>
      <c r="Q450" s="12">
        <f>IF(OR($P450="",$O450=""),"",$P450*365/$O450)</f>
      </c>
      <c r="R450">
        <f>IF($N450="",0,$M450*$O450)</f>
      </c>
      <c r="S450">
        <f>IF(OR($A450="",LEFT($B450,5)="LEAPS"),0,$D450*100*$E450)</f>
      </c>
    </row>
    <row r="451" spans="1:19" x14ac:dyDescent="0.25">
      <c r="A451" s="13"/>
      <c r="B451" s="14"/>
      <c r="C451" s="15"/>
      <c r="D451" s="15"/>
      <c r="E451" s="16"/>
      <c r="F451" s="17"/>
      <c r="G451" s="17"/>
      <c r="H451" s="14"/>
      <c r="I451" s="17"/>
      <c r="J451" s="15"/>
      <c r="K451" s="15"/>
      <c r="L451" s="15"/>
      <c r="M451" s="9">
        <f>IF($A451="","",IF(LEFT($B451,5)="LEAPS",$D451,$C451)*100*$E451)</f>
      </c>
      <c r="N451" s="10">
        <f>IF(OR($A451="",ISNUMBER(MATCH(LOWER($H451),{"open",""},0))),"",IF(LEFT($B451,5)="LEAPS",-1,1)*($D451-IF(ISNUMBER(MATCH(LOWER($H451),{"closed"},0)),$J451,0))*100*$E451-$K451-$L451)</f>
      </c>
      <c r="O451" s="11">
        <f>IF(OR($A451="",$F451=""),"",MAX(1,IF(ISNUMBER(MATCH(LOWER($H451),{"open",""},0)),MIN(TODAY(),$G451),IF($I451="",$G451,$I451))-$F451))</f>
      </c>
      <c r="P451" s="12">
        <f>IF(OR($N451="",$M451="",$M451=0),"",$N451/$M451)</f>
      </c>
      <c r="Q451" s="12">
        <f>IF(OR($P451="",$O451=""),"",$P451*365/$O451)</f>
      </c>
      <c r="R451">
        <f>IF($N451="",0,$M451*$O451)</f>
      </c>
      <c r="S451">
        <f>IF(OR($A451="",LEFT($B451,5)="LEAPS"),0,$D451*100*$E451)</f>
      </c>
    </row>
    <row r="452" spans="1:19" x14ac:dyDescent="0.25">
      <c r="A452" s="13"/>
      <c r="B452" s="14"/>
      <c r="C452" s="15"/>
      <c r="D452" s="15"/>
      <c r="E452" s="16"/>
      <c r="F452" s="17"/>
      <c r="G452" s="17"/>
      <c r="H452" s="14"/>
      <c r="I452" s="17"/>
      <c r="J452" s="15"/>
      <c r="K452" s="15"/>
      <c r="L452" s="15"/>
      <c r="M452" s="9">
        <f>IF($A452="","",IF(LEFT($B452,5)="LEAPS",$D452,$C452)*100*$E452)</f>
      </c>
      <c r="N452" s="10">
        <f>IF(OR($A452="",ISNUMBER(MATCH(LOWER($H452),{"open",""},0))),"",IF(LEFT($B452,5)="LEAPS",-1,1)*($D452-IF(ISNUMBER(MATCH(LOWER($H452),{"closed"},0)),$J452,0))*100*$E452-$K452-$L452)</f>
      </c>
      <c r="O452" s="11">
        <f>IF(OR($A452="",$F452=""),"",MAX(1,IF(ISNUMBER(MATCH(LOWER($H452),{"open",""},0)),MIN(TODAY(),$G452),IF($I452="",$G452,$I452))-$F452))</f>
      </c>
      <c r="P452" s="12">
        <f>IF(OR($N452="",$M452="",$M452=0),"",$N452/$M452)</f>
      </c>
      <c r="Q452" s="12">
        <f>IF(OR($P452="",$O452=""),"",$P452*365/$O452)</f>
      </c>
      <c r="R452">
        <f>IF($N452="",0,$M452*$O452)</f>
      </c>
      <c r="S452">
        <f>IF(OR($A452="",LEFT($B452,5)="LEAPS"),0,$D452*100*$E452)</f>
      </c>
    </row>
    <row r="453" spans="1:19" x14ac:dyDescent="0.25">
      <c r="A453" s="13"/>
      <c r="B453" s="14"/>
      <c r="C453" s="15"/>
      <c r="D453" s="15"/>
      <c r="E453" s="16"/>
      <c r="F453" s="17"/>
      <c r="G453" s="17"/>
      <c r="H453" s="14"/>
      <c r="I453" s="17"/>
      <c r="J453" s="15"/>
      <c r="K453" s="15"/>
      <c r="L453" s="15"/>
      <c r="M453" s="9">
        <f>IF($A453="","",IF(LEFT($B453,5)="LEAPS",$D453,$C453)*100*$E453)</f>
      </c>
      <c r="N453" s="10">
        <f>IF(OR($A453="",ISNUMBER(MATCH(LOWER($H453),{"open",""},0))),"",IF(LEFT($B453,5)="LEAPS",-1,1)*($D453-IF(ISNUMBER(MATCH(LOWER($H453),{"closed"},0)),$J453,0))*100*$E453-$K453-$L453)</f>
      </c>
      <c r="O453" s="11">
        <f>IF(OR($A453="",$F453=""),"",MAX(1,IF(ISNUMBER(MATCH(LOWER($H453),{"open",""},0)),MIN(TODAY(),$G453),IF($I453="",$G453,$I453))-$F453))</f>
      </c>
      <c r="P453" s="12">
        <f>IF(OR($N453="",$M453="",$M453=0),"",$N453/$M453)</f>
      </c>
      <c r="Q453" s="12">
        <f>IF(OR($P453="",$O453=""),"",$P453*365/$O453)</f>
      </c>
      <c r="R453">
        <f>IF($N453="",0,$M453*$O453)</f>
      </c>
      <c r="S453">
        <f>IF(OR($A453="",LEFT($B453,5)="LEAPS"),0,$D453*100*$E453)</f>
      </c>
    </row>
    <row r="454" spans="1:19" x14ac:dyDescent="0.25">
      <c r="A454" s="13"/>
      <c r="B454" s="14"/>
      <c r="C454" s="15"/>
      <c r="D454" s="15"/>
      <c r="E454" s="16"/>
      <c r="F454" s="17"/>
      <c r="G454" s="17"/>
      <c r="H454" s="14"/>
      <c r="I454" s="17"/>
      <c r="J454" s="15"/>
      <c r="K454" s="15"/>
      <c r="L454" s="15"/>
      <c r="M454" s="9">
        <f>IF($A454="","",IF(LEFT($B454,5)="LEAPS",$D454,$C454)*100*$E454)</f>
      </c>
      <c r="N454" s="10">
        <f>IF(OR($A454="",ISNUMBER(MATCH(LOWER($H454),{"open",""},0))),"",IF(LEFT($B454,5)="LEAPS",-1,1)*($D454-IF(ISNUMBER(MATCH(LOWER($H454),{"closed"},0)),$J454,0))*100*$E454-$K454-$L454)</f>
      </c>
      <c r="O454" s="11">
        <f>IF(OR($A454="",$F454=""),"",MAX(1,IF(ISNUMBER(MATCH(LOWER($H454),{"open",""},0)),MIN(TODAY(),$G454),IF($I454="",$G454,$I454))-$F454))</f>
      </c>
      <c r="P454" s="12">
        <f>IF(OR($N454="",$M454="",$M454=0),"",$N454/$M454)</f>
      </c>
      <c r="Q454" s="12">
        <f>IF(OR($P454="",$O454=""),"",$P454*365/$O454)</f>
      </c>
      <c r="R454">
        <f>IF($N454="",0,$M454*$O454)</f>
      </c>
      <c r="S454">
        <f>IF(OR($A454="",LEFT($B454,5)="LEAPS"),0,$D454*100*$E454)</f>
      </c>
    </row>
    <row r="455" spans="1:19" x14ac:dyDescent="0.25">
      <c r="A455" s="13"/>
      <c r="B455" s="14"/>
      <c r="C455" s="15"/>
      <c r="D455" s="15"/>
      <c r="E455" s="16"/>
      <c r="F455" s="17"/>
      <c r="G455" s="17"/>
      <c r="H455" s="14"/>
      <c r="I455" s="17"/>
      <c r="J455" s="15"/>
      <c r="K455" s="15"/>
      <c r="L455" s="15"/>
      <c r="M455" s="9">
        <f>IF($A455="","",IF(LEFT($B455,5)="LEAPS",$D455,$C455)*100*$E455)</f>
      </c>
      <c r="N455" s="10">
        <f>IF(OR($A455="",ISNUMBER(MATCH(LOWER($H455),{"open",""},0))),"",IF(LEFT($B455,5)="LEAPS",-1,1)*($D455-IF(ISNUMBER(MATCH(LOWER($H455),{"closed"},0)),$J455,0))*100*$E455-$K455-$L455)</f>
      </c>
      <c r="O455" s="11">
        <f>IF(OR($A455="",$F455=""),"",MAX(1,IF(ISNUMBER(MATCH(LOWER($H455),{"open",""},0)),MIN(TODAY(),$G455),IF($I455="",$G455,$I455))-$F455))</f>
      </c>
      <c r="P455" s="12">
        <f>IF(OR($N455="",$M455="",$M455=0),"",$N455/$M455)</f>
      </c>
      <c r="Q455" s="12">
        <f>IF(OR($P455="",$O455=""),"",$P455*365/$O455)</f>
      </c>
      <c r="R455">
        <f>IF($N455="",0,$M455*$O455)</f>
      </c>
      <c r="S455">
        <f>IF(OR($A455="",LEFT($B455,5)="LEAPS"),0,$D455*100*$E455)</f>
      </c>
    </row>
    <row r="456" spans="1:19" x14ac:dyDescent="0.25">
      <c r="A456" s="13"/>
      <c r="B456" s="14"/>
      <c r="C456" s="15"/>
      <c r="D456" s="15"/>
      <c r="E456" s="16"/>
      <c r="F456" s="17"/>
      <c r="G456" s="17"/>
      <c r="H456" s="14"/>
      <c r="I456" s="17"/>
      <c r="J456" s="15"/>
      <c r="K456" s="15"/>
      <c r="L456" s="15"/>
      <c r="M456" s="9">
        <f>IF($A456="","",IF(LEFT($B456,5)="LEAPS",$D456,$C456)*100*$E456)</f>
      </c>
      <c r="N456" s="10">
        <f>IF(OR($A456="",ISNUMBER(MATCH(LOWER($H456),{"open",""},0))),"",IF(LEFT($B456,5)="LEAPS",-1,1)*($D456-IF(ISNUMBER(MATCH(LOWER($H456),{"closed"},0)),$J456,0))*100*$E456-$K456-$L456)</f>
      </c>
      <c r="O456" s="11">
        <f>IF(OR($A456="",$F456=""),"",MAX(1,IF(ISNUMBER(MATCH(LOWER($H456),{"open",""},0)),MIN(TODAY(),$G456),IF($I456="",$G456,$I456))-$F456))</f>
      </c>
      <c r="P456" s="12">
        <f>IF(OR($N456="",$M456="",$M456=0),"",$N456/$M456)</f>
      </c>
      <c r="Q456" s="12">
        <f>IF(OR($P456="",$O456=""),"",$P456*365/$O456)</f>
      </c>
      <c r="R456">
        <f>IF($N456="",0,$M456*$O456)</f>
      </c>
      <c r="S456">
        <f>IF(OR($A456="",LEFT($B456,5)="LEAPS"),0,$D456*100*$E456)</f>
      </c>
    </row>
    <row r="457" spans="1:19" x14ac:dyDescent="0.25">
      <c r="A457" s="13"/>
      <c r="B457" s="14"/>
      <c r="C457" s="15"/>
      <c r="D457" s="15"/>
      <c r="E457" s="16"/>
      <c r="F457" s="17"/>
      <c r="G457" s="17"/>
      <c r="H457" s="14"/>
      <c r="I457" s="17"/>
      <c r="J457" s="15"/>
      <c r="K457" s="15"/>
      <c r="L457" s="15"/>
      <c r="M457" s="9">
        <f>IF($A457="","",IF(LEFT($B457,5)="LEAPS",$D457,$C457)*100*$E457)</f>
      </c>
      <c r="N457" s="10">
        <f>IF(OR($A457="",ISNUMBER(MATCH(LOWER($H457),{"open",""},0))),"",IF(LEFT($B457,5)="LEAPS",-1,1)*($D457-IF(ISNUMBER(MATCH(LOWER($H457),{"closed"},0)),$J457,0))*100*$E457-$K457-$L457)</f>
      </c>
      <c r="O457" s="11">
        <f>IF(OR($A457="",$F457=""),"",MAX(1,IF(ISNUMBER(MATCH(LOWER($H457),{"open",""},0)),MIN(TODAY(),$G457),IF($I457="",$G457,$I457))-$F457))</f>
      </c>
      <c r="P457" s="12">
        <f>IF(OR($N457="",$M457="",$M457=0),"",$N457/$M457)</f>
      </c>
      <c r="Q457" s="12">
        <f>IF(OR($P457="",$O457=""),"",$P457*365/$O457)</f>
      </c>
      <c r="R457">
        <f>IF($N457="",0,$M457*$O457)</f>
      </c>
      <c r="S457">
        <f>IF(OR($A457="",LEFT($B457,5)="LEAPS"),0,$D457*100*$E457)</f>
      </c>
    </row>
    <row r="458" spans="1:19" x14ac:dyDescent="0.25">
      <c r="A458" s="13"/>
      <c r="B458" s="14"/>
      <c r="C458" s="15"/>
      <c r="D458" s="15"/>
      <c r="E458" s="16"/>
      <c r="F458" s="17"/>
      <c r="G458" s="17"/>
      <c r="H458" s="14"/>
      <c r="I458" s="17"/>
      <c r="J458" s="15"/>
      <c r="K458" s="15"/>
      <c r="L458" s="15"/>
      <c r="M458" s="9">
        <f>IF($A458="","",IF(LEFT($B458,5)="LEAPS",$D458,$C458)*100*$E458)</f>
      </c>
      <c r="N458" s="10">
        <f>IF(OR($A458="",ISNUMBER(MATCH(LOWER($H458),{"open",""},0))),"",IF(LEFT($B458,5)="LEAPS",-1,1)*($D458-IF(ISNUMBER(MATCH(LOWER($H458),{"closed"},0)),$J458,0))*100*$E458-$K458-$L458)</f>
      </c>
      <c r="O458" s="11">
        <f>IF(OR($A458="",$F458=""),"",MAX(1,IF(ISNUMBER(MATCH(LOWER($H458),{"open",""},0)),MIN(TODAY(),$G458),IF($I458="",$G458,$I458))-$F458))</f>
      </c>
      <c r="P458" s="12">
        <f>IF(OR($N458="",$M458="",$M458=0),"",$N458/$M458)</f>
      </c>
      <c r="Q458" s="12">
        <f>IF(OR($P458="",$O458=""),"",$P458*365/$O458)</f>
      </c>
      <c r="R458">
        <f>IF($N458="",0,$M458*$O458)</f>
      </c>
      <c r="S458">
        <f>IF(OR($A458="",LEFT($B458,5)="LEAPS"),0,$D458*100*$E458)</f>
      </c>
    </row>
    <row r="459" spans="1:19" x14ac:dyDescent="0.25">
      <c r="A459" s="13"/>
      <c r="B459" s="14"/>
      <c r="C459" s="15"/>
      <c r="D459" s="15"/>
      <c r="E459" s="16"/>
      <c r="F459" s="17"/>
      <c r="G459" s="17"/>
      <c r="H459" s="14"/>
      <c r="I459" s="17"/>
      <c r="J459" s="15"/>
      <c r="K459" s="15"/>
      <c r="L459" s="15"/>
      <c r="M459" s="9">
        <f>IF($A459="","",IF(LEFT($B459,5)="LEAPS",$D459,$C459)*100*$E459)</f>
      </c>
      <c r="N459" s="10">
        <f>IF(OR($A459="",ISNUMBER(MATCH(LOWER($H459),{"open",""},0))),"",IF(LEFT($B459,5)="LEAPS",-1,1)*($D459-IF(ISNUMBER(MATCH(LOWER($H459),{"closed"},0)),$J459,0))*100*$E459-$K459-$L459)</f>
      </c>
      <c r="O459" s="11">
        <f>IF(OR($A459="",$F459=""),"",MAX(1,IF(ISNUMBER(MATCH(LOWER($H459),{"open",""},0)),MIN(TODAY(),$G459),IF($I459="",$G459,$I459))-$F459))</f>
      </c>
      <c r="P459" s="12">
        <f>IF(OR($N459="",$M459="",$M459=0),"",$N459/$M459)</f>
      </c>
      <c r="Q459" s="12">
        <f>IF(OR($P459="",$O459=""),"",$P459*365/$O459)</f>
      </c>
      <c r="R459">
        <f>IF($N459="",0,$M459*$O459)</f>
      </c>
      <c r="S459">
        <f>IF(OR($A459="",LEFT($B459,5)="LEAPS"),0,$D459*100*$E459)</f>
      </c>
    </row>
    <row r="460" spans="1:19" x14ac:dyDescent="0.25">
      <c r="A460" s="13"/>
      <c r="B460" s="14"/>
      <c r="C460" s="15"/>
      <c r="D460" s="15"/>
      <c r="E460" s="16"/>
      <c r="F460" s="17"/>
      <c r="G460" s="17"/>
      <c r="H460" s="14"/>
      <c r="I460" s="17"/>
      <c r="J460" s="15"/>
      <c r="K460" s="15"/>
      <c r="L460" s="15"/>
      <c r="M460" s="9">
        <f>IF($A460="","",IF(LEFT($B460,5)="LEAPS",$D460,$C460)*100*$E460)</f>
      </c>
      <c r="N460" s="10">
        <f>IF(OR($A460="",ISNUMBER(MATCH(LOWER($H460),{"open",""},0))),"",IF(LEFT($B460,5)="LEAPS",-1,1)*($D460-IF(ISNUMBER(MATCH(LOWER($H460),{"closed"},0)),$J460,0))*100*$E460-$K460-$L460)</f>
      </c>
      <c r="O460" s="11">
        <f>IF(OR($A460="",$F460=""),"",MAX(1,IF(ISNUMBER(MATCH(LOWER($H460),{"open",""},0)),MIN(TODAY(),$G460),IF($I460="",$G460,$I460))-$F460))</f>
      </c>
      <c r="P460" s="12">
        <f>IF(OR($N460="",$M460="",$M460=0),"",$N460/$M460)</f>
      </c>
      <c r="Q460" s="12">
        <f>IF(OR($P460="",$O460=""),"",$P460*365/$O460)</f>
      </c>
      <c r="R460">
        <f>IF($N460="",0,$M460*$O460)</f>
      </c>
      <c r="S460">
        <f>IF(OR($A460="",LEFT($B460,5)="LEAPS"),0,$D460*100*$E460)</f>
      </c>
    </row>
    <row r="461" spans="1:19" x14ac:dyDescent="0.25">
      <c r="A461" s="13"/>
      <c r="B461" s="14"/>
      <c r="C461" s="15"/>
      <c r="D461" s="15"/>
      <c r="E461" s="16"/>
      <c r="F461" s="17"/>
      <c r="G461" s="17"/>
      <c r="H461" s="14"/>
      <c r="I461" s="17"/>
      <c r="J461" s="15"/>
      <c r="K461" s="15"/>
      <c r="L461" s="15"/>
      <c r="M461" s="9">
        <f>IF($A461="","",IF(LEFT($B461,5)="LEAPS",$D461,$C461)*100*$E461)</f>
      </c>
      <c r="N461" s="10">
        <f>IF(OR($A461="",ISNUMBER(MATCH(LOWER($H461),{"open",""},0))),"",IF(LEFT($B461,5)="LEAPS",-1,1)*($D461-IF(ISNUMBER(MATCH(LOWER($H461),{"closed"},0)),$J461,0))*100*$E461-$K461-$L461)</f>
      </c>
      <c r="O461" s="11">
        <f>IF(OR($A461="",$F461=""),"",MAX(1,IF(ISNUMBER(MATCH(LOWER($H461),{"open",""},0)),MIN(TODAY(),$G461),IF($I461="",$G461,$I461))-$F461))</f>
      </c>
      <c r="P461" s="12">
        <f>IF(OR($N461="",$M461="",$M461=0),"",$N461/$M461)</f>
      </c>
      <c r="Q461" s="12">
        <f>IF(OR($P461="",$O461=""),"",$P461*365/$O461)</f>
      </c>
      <c r="R461">
        <f>IF($N461="",0,$M461*$O461)</f>
      </c>
      <c r="S461">
        <f>IF(OR($A461="",LEFT($B461,5)="LEAPS"),0,$D461*100*$E461)</f>
      </c>
    </row>
    <row r="462" spans="1:19" x14ac:dyDescent="0.25">
      <c r="A462" s="13"/>
      <c r="B462" s="14"/>
      <c r="C462" s="15"/>
      <c r="D462" s="15"/>
      <c r="E462" s="16"/>
      <c r="F462" s="17"/>
      <c r="G462" s="17"/>
      <c r="H462" s="14"/>
      <c r="I462" s="17"/>
      <c r="J462" s="15"/>
      <c r="K462" s="15"/>
      <c r="L462" s="15"/>
      <c r="M462" s="9">
        <f>IF($A462="","",IF(LEFT($B462,5)="LEAPS",$D462,$C462)*100*$E462)</f>
      </c>
      <c r="N462" s="10">
        <f>IF(OR($A462="",ISNUMBER(MATCH(LOWER($H462),{"open",""},0))),"",IF(LEFT($B462,5)="LEAPS",-1,1)*($D462-IF(ISNUMBER(MATCH(LOWER($H462),{"closed"},0)),$J462,0))*100*$E462-$K462-$L462)</f>
      </c>
      <c r="O462" s="11">
        <f>IF(OR($A462="",$F462=""),"",MAX(1,IF(ISNUMBER(MATCH(LOWER($H462),{"open",""},0)),MIN(TODAY(),$G462),IF($I462="",$G462,$I462))-$F462))</f>
      </c>
      <c r="P462" s="12">
        <f>IF(OR($N462="",$M462="",$M462=0),"",$N462/$M462)</f>
      </c>
      <c r="Q462" s="12">
        <f>IF(OR($P462="",$O462=""),"",$P462*365/$O462)</f>
      </c>
      <c r="R462">
        <f>IF($N462="",0,$M462*$O462)</f>
      </c>
      <c r="S462">
        <f>IF(OR($A462="",LEFT($B462,5)="LEAPS"),0,$D462*100*$E462)</f>
      </c>
    </row>
    <row r="463" spans="1:19" x14ac:dyDescent="0.25">
      <c r="A463" s="13"/>
      <c r="B463" s="14"/>
      <c r="C463" s="15"/>
      <c r="D463" s="15"/>
      <c r="E463" s="16"/>
      <c r="F463" s="17"/>
      <c r="G463" s="17"/>
      <c r="H463" s="14"/>
      <c r="I463" s="17"/>
      <c r="J463" s="15"/>
      <c r="K463" s="15"/>
      <c r="L463" s="15"/>
      <c r="M463" s="9">
        <f>IF($A463="","",IF(LEFT($B463,5)="LEAPS",$D463,$C463)*100*$E463)</f>
      </c>
      <c r="N463" s="10">
        <f>IF(OR($A463="",ISNUMBER(MATCH(LOWER($H463),{"open",""},0))),"",IF(LEFT($B463,5)="LEAPS",-1,1)*($D463-IF(ISNUMBER(MATCH(LOWER($H463),{"closed"},0)),$J463,0))*100*$E463-$K463-$L463)</f>
      </c>
      <c r="O463" s="11">
        <f>IF(OR($A463="",$F463=""),"",MAX(1,IF(ISNUMBER(MATCH(LOWER($H463),{"open",""},0)),MIN(TODAY(),$G463),IF($I463="",$G463,$I463))-$F463))</f>
      </c>
      <c r="P463" s="12">
        <f>IF(OR($N463="",$M463="",$M463=0),"",$N463/$M463)</f>
      </c>
      <c r="Q463" s="12">
        <f>IF(OR($P463="",$O463=""),"",$P463*365/$O463)</f>
      </c>
      <c r="R463">
        <f>IF($N463="",0,$M463*$O463)</f>
      </c>
      <c r="S463">
        <f>IF(OR($A463="",LEFT($B463,5)="LEAPS"),0,$D463*100*$E463)</f>
      </c>
    </row>
    <row r="464" spans="1:19" x14ac:dyDescent="0.25">
      <c r="A464" s="13"/>
      <c r="B464" s="14"/>
      <c r="C464" s="15"/>
      <c r="D464" s="15"/>
      <c r="E464" s="16"/>
      <c r="F464" s="17"/>
      <c r="G464" s="17"/>
      <c r="H464" s="14"/>
      <c r="I464" s="17"/>
      <c r="J464" s="15"/>
      <c r="K464" s="15"/>
      <c r="L464" s="15"/>
      <c r="M464" s="9">
        <f>IF($A464="","",IF(LEFT($B464,5)="LEAPS",$D464,$C464)*100*$E464)</f>
      </c>
      <c r="N464" s="10">
        <f>IF(OR($A464="",ISNUMBER(MATCH(LOWER($H464),{"open",""},0))),"",IF(LEFT($B464,5)="LEAPS",-1,1)*($D464-IF(ISNUMBER(MATCH(LOWER($H464),{"closed"},0)),$J464,0))*100*$E464-$K464-$L464)</f>
      </c>
      <c r="O464" s="11">
        <f>IF(OR($A464="",$F464=""),"",MAX(1,IF(ISNUMBER(MATCH(LOWER($H464),{"open",""},0)),MIN(TODAY(),$G464),IF($I464="",$G464,$I464))-$F464))</f>
      </c>
      <c r="P464" s="12">
        <f>IF(OR($N464="",$M464="",$M464=0),"",$N464/$M464)</f>
      </c>
      <c r="Q464" s="12">
        <f>IF(OR($P464="",$O464=""),"",$P464*365/$O464)</f>
      </c>
      <c r="R464">
        <f>IF($N464="",0,$M464*$O464)</f>
      </c>
      <c r="S464">
        <f>IF(OR($A464="",LEFT($B464,5)="LEAPS"),0,$D464*100*$E464)</f>
      </c>
    </row>
    <row r="465" spans="1:19" x14ac:dyDescent="0.25">
      <c r="A465" s="13"/>
      <c r="B465" s="14"/>
      <c r="C465" s="15"/>
      <c r="D465" s="15"/>
      <c r="E465" s="16"/>
      <c r="F465" s="17"/>
      <c r="G465" s="17"/>
      <c r="H465" s="14"/>
      <c r="I465" s="17"/>
      <c r="J465" s="15"/>
      <c r="K465" s="15"/>
      <c r="L465" s="15"/>
      <c r="M465" s="9">
        <f>IF($A465="","",IF(LEFT($B465,5)="LEAPS",$D465,$C465)*100*$E465)</f>
      </c>
      <c r="N465" s="10">
        <f>IF(OR($A465="",ISNUMBER(MATCH(LOWER($H465),{"open",""},0))),"",IF(LEFT($B465,5)="LEAPS",-1,1)*($D465-IF(ISNUMBER(MATCH(LOWER($H465),{"closed"},0)),$J465,0))*100*$E465-$K465-$L465)</f>
      </c>
      <c r="O465" s="11">
        <f>IF(OR($A465="",$F465=""),"",MAX(1,IF(ISNUMBER(MATCH(LOWER($H465),{"open",""},0)),MIN(TODAY(),$G465),IF($I465="",$G465,$I465))-$F465))</f>
      </c>
      <c r="P465" s="12">
        <f>IF(OR($N465="",$M465="",$M465=0),"",$N465/$M465)</f>
      </c>
      <c r="Q465" s="12">
        <f>IF(OR($P465="",$O465=""),"",$P465*365/$O465)</f>
      </c>
      <c r="R465">
        <f>IF($N465="",0,$M465*$O465)</f>
      </c>
      <c r="S465">
        <f>IF(OR($A465="",LEFT($B465,5)="LEAPS"),0,$D465*100*$E465)</f>
      </c>
    </row>
    <row r="466" spans="1:19" x14ac:dyDescent="0.25">
      <c r="A466" s="13"/>
      <c r="B466" s="14"/>
      <c r="C466" s="15"/>
      <c r="D466" s="15"/>
      <c r="E466" s="16"/>
      <c r="F466" s="17"/>
      <c r="G466" s="17"/>
      <c r="H466" s="14"/>
      <c r="I466" s="17"/>
      <c r="J466" s="15"/>
      <c r="K466" s="15"/>
      <c r="L466" s="15"/>
      <c r="M466" s="9">
        <f>IF($A466="","",IF(LEFT($B466,5)="LEAPS",$D466,$C466)*100*$E466)</f>
      </c>
      <c r="N466" s="10">
        <f>IF(OR($A466="",ISNUMBER(MATCH(LOWER($H466),{"open",""},0))),"",IF(LEFT($B466,5)="LEAPS",-1,1)*($D466-IF(ISNUMBER(MATCH(LOWER($H466),{"closed"},0)),$J466,0))*100*$E466-$K466-$L466)</f>
      </c>
      <c r="O466" s="11">
        <f>IF(OR($A466="",$F466=""),"",MAX(1,IF(ISNUMBER(MATCH(LOWER($H466),{"open",""},0)),MIN(TODAY(),$G466),IF($I466="",$G466,$I466))-$F466))</f>
      </c>
      <c r="P466" s="12">
        <f>IF(OR($N466="",$M466="",$M466=0),"",$N466/$M466)</f>
      </c>
      <c r="Q466" s="12">
        <f>IF(OR($P466="",$O466=""),"",$P466*365/$O466)</f>
      </c>
      <c r="R466">
        <f>IF($N466="",0,$M466*$O466)</f>
      </c>
      <c r="S466">
        <f>IF(OR($A466="",LEFT($B466,5)="LEAPS"),0,$D466*100*$E466)</f>
      </c>
    </row>
    <row r="467" spans="1:19" x14ac:dyDescent="0.25">
      <c r="A467" s="13"/>
      <c r="B467" s="14"/>
      <c r="C467" s="15"/>
      <c r="D467" s="15"/>
      <c r="E467" s="16"/>
      <c r="F467" s="17"/>
      <c r="G467" s="17"/>
      <c r="H467" s="14"/>
      <c r="I467" s="17"/>
      <c r="J467" s="15"/>
      <c r="K467" s="15"/>
      <c r="L467" s="15"/>
      <c r="M467" s="9">
        <f>IF($A467="","",IF(LEFT($B467,5)="LEAPS",$D467,$C467)*100*$E467)</f>
      </c>
      <c r="N467" s="10">
        <f>IF(OR($A467="",ISNUMBER(MATCH(LOWER($H467),{"open",""},0))),"",IF(LEFT($B467,5)="LEAPS",-1,1)*($D467-IF(ISNUMBER(MATCH(LOWER($H467),{"closed"},0)),$J467,0))*100*$E467-$K467-$L467)</f>
      </c>
      <c r="O467" s="11">
        <f>IF(OR($A467="",$F467=""),"",MAX(1,IF(ISNUMBER(MATCH(LOWER($H467),{"open",""},0)),MIN(TODAY(),$G467),IF($I467="",$G467,$I467))-$F467))</f>
      </c>
      <c r="P467" s="12">
        <f>IF(OR($N467="",$M467="",$M467=0),"",$N467/$M467)</f>
      </c>
      <c r="Q467" s="12">
        <f>IF(OR($P467="",$O467=""),"",$P467*365/$O467)</f>
      </c>
      <c r="R467">
        <f>IF($N467="",0,$M467*$O467)</f>
      </c>
      <c r="S467">
        <f>IF(OR($A467="",LEFT($B467,5)="LEAPS"),0,$D467*100*$E467)</f>
      </c>
    </row>
    <row r="468" spans="1:19" x14ac:dyDescent="0.25">
      <c r="A468" s="13"/>
      <c r="B468" s="14"/>
      <c r="C468" s="15"/>
      <c r="D468" s="15"/>
      <c r="E468" s="16"/>
      <c r="F468" s="17"/>
      <c r="G468" s="17"/>
      <c r="H468" s="14"/>
      <c r="I468" s="17"/>
      <c r="J468" s="15"/>
      <c r="K468" s="15"/>
      <c r="L468" s="15"/>
      <c r="M468" s="9">
        <f>IF($A468="","",IF(LEFT($B468,5)="LEAPS",$D468,$C468)*100*$E468)</f>
      </c>
      <c r="N468" s="10">
        <f>IF(OR($A468="",ISNUMBER(MATCH(LOWER($H468),{"open",""},0))),"",IF(LEFT($B468,5)="LEAPS",-1,1)*($D468-IF(ISNUMBER(MATCH(LOWER($H468),{"closed"},0)),$J468,0))*100*$E468-$K468-$L468)</f>
      </c>
      <c r="O468" s="11">
        <f>IF(OR($A468="",$F468=""),"",MAX(1,IF(ISNUMBER(MATCH(LOWER($H468),{"open",""},0)),MIN(TODAY(),$G468),IF($I468="",$G468,$I468))-$F468))</f>
      </c>
      <c r="P468" s="12">
        <f>IF(OR($N468="",$M468="",$M468=0),"",$N468/$M468)</f>
      </c>
      <c r="Q468" s="12">
        <f>IF(OR($P468="",$O468=""),"",$P468*365/$O468)</f>
      </c>
      <c r="R468">
        <f>IF($N468="",0,$M468*$O468)</f>
      </c>
      <c r="S468">
        <f>IF(OR($A468="",LEFT($B468,5)="LEAPS"),0,$D468*100*$E468)</f>
      </c>
    </row>
    <row r="469" spans="1:19" x14ac:dyDescent="0.25">
      <c r="A469" s="13"/>
      <c r="B469" s="14"/>
      <c r="C469" s="15"/>
      <c r="D469" s="15"/>
      <c r="E469" s="16"/>
      <c r="F469" s="17"/>
      <c r="G469" s="17"/>
      <c r="H469" s="14"/>
      <c r="I469" s="17"/>
      <c r="J469" s="15"/>
      <c r="K469" s="15"/>
      <c r="L469" s="15"/>
      <c r="M469" s="9">
        <f>IF($A469="","",IF(LEFT($B469,5)="LEAPS",$D469,$C469)*100*$E469)</f>
      </c>
      <c r="N469" s="10">
        <f>IF(OR($A469="",ISNUMBER(MATCH(LOWER($H469),{"open",""},0))),"",IF(LEFT($B469,5)="LEAPS",-1,1)*($D469-IF(ISNUMBER(MATCH(LOWER($H469),{"closed"},0)),$J469,0))*100*$E469-$K469-$L469)</f>
      </c>
      <c r="O469" s="11">
        <f>IF(OR($A469="",$F469=""),"",MAX(1,IF(ISNUMBER(MATCH(LOWER($H469),{"open",""},0)),MIN(TODAY(),$G469),IF($I469="",$G469,$I469))-$F469))</f>
      </c>
      <c r="P469" s="12">
        <f>IF(OR($N469="",$M469="",$M469=0),"",$N469/$M469)</f>
      </c>
      <c r="Q469" s="12">
        <f>IF(OR($P469="",$O469=""),"",$P469*365/$O469)</f>
      </c>
      <c r="R469">
        <f>IF($N469="",0,$M469*$O469)</f>
      </c>
      <c r="S469">
        <f>IF(OR($A469="",LEFT($B469,5)="LEAPS"),0,$D469*100*$E469)</f>
      </c>
    </row>
    <row r="470" spans="1:19" x14ac:dyDescent="0.25">
      <c r="A470" s="13"/>
      <c r="B470" s="14"/>
      <c r="C470" s="15"/>
      <c r="D470" s="15"/>
      <c r="E470" s="16"/>
      <c r="F470" s="17"/>
      <c r="G470" s="17"/>
      <c r="H470" s="14"/>
      <c r="I470" s="17"/>
      <c r="J470" s="15"/>
      <c r="K470" s="15"/>
      <c r="L470" s="15"/>
      <c r="M470" s="9">
        <f>IF($A470="","",IF(LEFT($B470,5)="LEAPS",$D470,$C470)*100*$E470)</f>
      </c>
      <c r="N470" s="10">
        <f>IF(OR($A470="",ISNUMBER(MATCH(LOWER($H470),{"open",""},0))),"",IF(LEFT($B470,5)="LEAPS",-1,1)*($D470-IF(ISNUMBER(MATCH(LOWER($H470),{"closed"},0)),$J470,0))*100*$E470-$K470-$L470)</f>
      </c>
      <c r="O470" s="11">
        <f>IF(OR($A470="",$F470=""),"",MAX(1,IF(ISNUMBER(MATCH(LOWER($H470),{"open",""},0)),MIN(TODAY(),$G470),IF($I470="",$G470,$I470))-$F470))</f>
      </c>
      <c r="P470" s="12">
        <f>IF(OR($N470="",$M470="",$M470=0),"",$N470/$M470)</f>
      </c>
      <c r="Q470" s="12">
        <f>IF(OR($P470="",$O470=""),"",$P470*365/$O470)</f>
      </c>
      <c r="R470">
        <f>IF($N470="",0,$M470*$O470)</f>
      </c>
      <c r="S470">
        <f>IF(OR($A470="",LEFT($B470,5)="LEAPS"),0,$D470*100*$E470)</f>
      </c>
    </row>
    <row r="471" spans="1:19" x14ac:dyDescent="0.25">
      <c r="A471" s="13"/>
      <c r="B471" s="14"/>
      <c r="C471" s="15"/>
      <c r="D471" s="15"/>
      <c r="E471" s="16"/>
      <c r="F471" s="17"/>
      <c r="G471" s="17"/>
      <c r="H471" s="14"/>
      <c r="I471" s="17"/>
      <c r="J471" s="15"/>
      <c r="K471" s="15"/>
      <c r="L471" s="15"/>
      <c r="M471" s="9">
        <f>IF($A471="","",IF(LEFT($B471,5)="LEAPS",$D471,$C471)*100*$E471)</f>
      </c>
      <c r="N471" s="10">
        <f>IF(OR($A471="",ISNUMBER(MATCH(LOWER($H471),{"open",""},0))),"",IF(LEFT($B471,5)="LEAPS",-1,1)*($D471-IF(ISNUMBER(MATCH(LOWER($H471),{"closed"},0)),$J471,0))*100*$E471-$K471-$L471)</f>
      </c>
      <c r="O471" s="11">
        <f>IF(OR($A471="",$F471=""),"",MAX(1,IF(ISNUMBER(MATCH(LOWER($H471),{"open",""},0)),MIN(TODAY(),$G471),IF($I471="",$G471,$I471))-$F471))</f>
      </c>
      <c r="P471" s="12">
        <f>IF(OR($N471="",$M471="",$M471=0),"",$N471/$M471)</f>
      </c>
      <c r="Q471" s="12">
        <f>IF(OR($P471="",$O471=""),"",$P471*365/$O471)</f>
      </c>
      <c r="R471">
        <f>IF($N471="",0,$M471*$O471)</f>
      </c>
      <c r="S471">
        <f>IF(OR($A471="",LEFT($B471,5)="LEAPS"),0,$D471*100*$E471)</f>
      </c>
    </row>
    <row r="472" spans="1:19" x14ac:dyDescent="0.25">
      <c r="A472" s="13"/>
      <c r="B472" s="14"/>
      <c r="C472" s="15"/>
      <c r="D472" s="15"/>
      <c r="E472" s="16"/>
      <c r="F472" s="17"/>
      <c r="G472" s="17"/>
      <c r="H472" s="14"/>
      <c r="I472" s="17"/>
      <c r="J472" s="15"/>
      <c r="K472" s="15"/>
      <c r="L472" s="15"/>
      <c r="M472" s="9">
        <f>IF($A472="","",IF(LEFT($B472,5)="LEAPS",$D472,$C472)*100*$E472)</f>
      </c>
      <c r="N472" s="10">
        <f>IF(OR($A472="",ISNUMBER(MATCH(LOWER($H472),{"open",""},0))),"",IF(LEFT($B472,5)="LEAPS",-1,1)*($D472-IF(ISNUMBER(MATCH(LOWER($H472),{"closed"},0)),$J472,0))*100*$E472-$K472-$L472)</f>
      </c>
      <c r="O472" s="11">
        <f>IF(OR($A472="",$F472=""),"",MAX(1,IF(ISNUMBER(MATCH(LOWER($H472),{"open",""},0)),MIN(TODAY(),$G472),IF($I472="",$G472,$I472))-$F472))</f>
      </c>
      <c r="P472" s="12">
        <f>IF(OR($N472="",$M472="",$M472=0),"",$N472/$M472)</f>
      </c>
      <c r="Q472" s="12">
        <f>IF(OR($P472="",$O472=""),"",$P472*365/$O472)</f>
      </c>
      <c r="R472">
        <f>IF($N472="",0,$M472*$O472)</f>
      </c>
      <c r="S472">
        <f>IF(OR($A472="",LEFT($B472,5)="LEAPS"),0,$D472*100*$E472)</f>
      </c>
    </row>
    <row r="473" spans="1:19" x14ac:dyDescent="0.25">
      <c r="A473" s="13"/>
      <c r="B473" s="14"/>
      <c r="C473" s="15"/>
      <c r="D473" s="15"/>
      <c r="E473" s="16"/>
      <c r="F473" s="17"/>
      <c r="G473" s="17"/>
      <c r="H473" s="14"/>
      <c r="I473" s="17"/>
      <c r="J473" s="15"/>
      <c r="K473" s="15"/>
      <c r="L473" s="15"/>
      <c r="M473" s="9">
        <f>IF($A473="","",IF(LEFT($B473,5)="LEAPS",$D473,$C473)*100*$E473)</f>
      </c>
      <c r="N473" s="10">
        <f>IF(OR($A473="",ISNUMBER(MATCH(LOWER($H473),{"open",""},0))),"",IF(LEFT($B473,5)="LEAPS",-1,1)*($D473-IF(ISNUMBER(MATCH(LOWER($H473),{"closed"},0)),$J473,0))*100*$E473-$K473-$L473)</f>
      </c>
      <c r="O473" s="11">
        <f>IF(OR($A473="",$F473=""),"",MAX(1,IF(ISNUMBER(MATCH(LOWER($H473),{"open",""},0)),MIN(TODAY(),$G473),IF($I473="",$G473,$I473))-$F473))</f>
      </c>
      <c r="P473" s="12">
        <f>IF(OR($N473="",$M473="",$M473=0),"",$N473/$M473)</f>
      </c>
      <c r="Q473" s="12">
        <f>IF(OR($P473="",$O473=""),"",$P473*365/$O473)</f>
      </c>
      <c r="R473">
        <f>IF($N473="",0,$M473*$O473)</f>
      </c>
      <c r="S473">
        <f>IF(OR($A473="",LEFT($B473,5)="LEAPS"),0,$D473*100*$E473)</f>
      </c>
    </row>
    <row r="474" spans="1:19" x14ac:dyDescent="0.25">
      <c r="A474" s="13"/>
      <c r="B474" s="14"/>
      <c r="C474" s="15"/>
      <c r="D474" s="15"/>
      <c r="E474" s="16"/>
      <c r="F474" s="17"/>
      <c r="G474" s="17"/>
      <c r="H474" s="14"/>
      <c r="I474" s="17"/>
      <c r="J474" s="15"/>
      <c r="K474" s="15"/>
      <c r="L474" s="15"/>
      <c r="M474" s="9">
        <f>IF($A474="","",IF(LEFT($B474,5)="LEAPS",$D474,$C474)*100*$E474)</f>
      </c>
      <c r="N474" s="10">
        <f>IF(OR($A474="",ISNUMBER(MATCH(LOWER($H474),{"open",""},0))),"",IF(LEFT($B474,5)="LEAPS",-1,1)*($D474-IF(ISNUMBER(MATCH(LOWER($H474),{"closed"},0)),$J474,0))*100*$E474-$K474-$L474)</f>
      </c>
      <c r="O474" s="11">
        <f>IF(OR($A474="",$F474=""),"",MAX(1,IF(ISNUMBER(MATCH(LOWER($H474),{"open",""},0)),MIN(TODAY(),$G474),IF($I474="",$G474,$I474))-$F474))</f>
      </c>
      <c r="P474" s="12">
        <f>IF(OR($N474="",$M474="",$M474=0),"",$N474/$M474)</f>
      </c>
      <c r="Q474" s="12">
        <f>IF(OR($P474="",$O474=""),"",$P474*365/$O474)</f>
      </c>
      <c r="R474">
        <f>IF($N474="",0,$M474*$O474)</f>
      </c>
      <c r="S474">
        <f>IF(OR($A474="",LEFT($B474,5)="LEAPS"),0,$D474*100*$E474)</f>
      </c>
    </row>
    <row r="475" spans="1:19" x14ac:dyDescent="0.25">
      <c r="A475" s="13"/>
      <c r="B475" s="14"/>
      <c r="C475" s="15"/>
      <c r="D475" s="15"/>
      <c r="E475" s="16"/>
      <c r="F475" s="17"/>
      <c r="G475" s="17"/>
      <c r="H475" s="14"/>
      <c r="I475" s="17"/>
      <c r="J475" s="15"/>
      <c r="K475" s="15"/>
      <c r="L475" s="15"/>
      <c r="M475" s="9">
        <f>IF($A475="","",IF(LEFT($B475,5)="LEAPS",$D475,$C475)*100*$E475)</f>
      </c>
      <c r="N475" s="10">
        <f>IF(OR($A475="",ISNUMBER(MATCH(LOWER($H475),{"open",""},0))),"",IF(LEFT($B475,5)="LEAPS",-1,1)*($D475-IF(ISNUMBER(MATCH(LOWER($H475),{"closed"},0)),$J475,0))*100*$E475-$K475-$L475)</f>
      </c>
      <c r="O475" s="11">
        <f>IF(OR($A475="",$F475=""),"",MAX(1,IF(ISNUMBER(MATCH(LOWER($H475),{"open",""},0)),MIN(TODAY(),$G475),IF($I475="",$G475,$I475))-$F475))</f>
      </c>
      <c r="P475" s="12">
        <f>IF(OR($N475="",$M475="",$M475=0),"",$N475/$M475)</f>
      </c>
      <c r="Q475" s="12">
        <f>IF(OR($P475="",$O475=""),"",$P475*365/$O475)</f>
      </c>
      <c r="R475">
        <f>IF($N475="",0,$M475*$O475)</f>
      </c>
      <c r="S475">
        <f>IF(OR($A475="",LEFT($B475,5)="LEAPS"),0,$D475*100*$E475)</f>
      </c>
    </row>
    <row r="476" spans="1:19" x14ac:dyDescent="0.25">
      <c r="A476" s="13"/>
      <c r="B476" s="14"/>
      <c r="C476" s="15"/>
      <c r="D476" s="15"/>
      <c r="E476" s="16"/>
      <c r="F476" s="17"/>
      <c r="G476" s="17"/>
      <c r="H476" s="14"/>
      <c r="I476" s="17"/>
      <c r="J476" s="15"/>
      <c r="K476" s="15"/>
      <c r="L476" s="15"/>
      <c r="M476" s="9">
        <f>IF($A476="","",IF(LEFT($B476,5)="LEAPS",$D476,$C476)*100*$E476)</f>
      </c>
      <c r="N476" s="10">
        <f>IF(OR($A476="",ISNUMBER(MATCH(LOWER($H476),{"open",""},0))),"",IF(LEFT($B476,5)="LEAPS",-1,1)*($D476-IF(ISNUMBER(MATCH(LOWER($H476),{"closed"},0)),$J476,0))*100*$E476-$K476-$L476)</f>
      </c>
      <c r="O476" s="11">
        <f>IF(OR($A476="",$F476=""),"",MAX(1,IF(ISNUMBER(MATCH(LOWER($H476),{"open",""},0)),MIN(TODAY(),$G476),IF($I476="",$G476,$I476))-$F476))</f>
      </c>
      <c r="P476" s="12">
        <f>IF(OR($N476="",$M476="",$M476=0),"",$N476/$M476)</f>
      </c>
      <c r="Q476" s="12">
        <f>IF(OR($P476="",$O476=""),"",$P476*365/$O476)</f>
      </c>
      <c r="R476">
        <f>IF($N476="",0,$M476*$O476)</f>
      </c>
      <c r="S476">
        <f>IF(OR($A476="",LEFT($B476,5)="LEAPS"),0,$D476*100*$E476)</f>
      </c>
    </row>
    <row r="477" spans="1:19" x14ac:dyDescent="0.25">
      <c r="A477" s="13"/>
      <c r="B477" s="14"/>
      <c r="C477" s="15"/>
      <c r="D477" s="15"/>
      <c r="E477" s="16"/>
      <c r="F477" s="17"/>
      <c r="G477" s="17"/>
      <c r="H477" s="14"/>
      <c r="I477" s="17"/>
      <c r="J477" s="15"/>
      <c r="K477" s="15"/>
      <c r="L477" s="15"/>
      <c r="M477" s="9">
        <f>IF($A477="","",IF(LEFT($B477,5)="LEAPS",$D477,$C477)*100*$E477)</f>
      </c>
      <c r="N477" s="10">
        <f>IF(OR($A477="",ISNUMBER(MATCH(LOWER($H477),{"open",""},0))),"",IF(LEFT($B477,5)="LEAPS",-1,1)*($D477-IF(ISNUMBER(MATCH(LOWER($H477),{"closed"},0)),$J477,0))*100*$E477-$K477-$L477)</f>
      </c>
      <c r="O477" s="11">
        <f>IF(OR($A477="",$F477=""),"",MAX(1,IF(ISNUMBER(MATCH(LOWER($H477),{"open",""},0)),MIN(TODAY(),$G477),IF($I477="",$G477,$I477))-$F477))</f>
      </c>
      <c r="P477" s="12">
        <f>IF(OR($N477="",$M477="",$M477=0),"",$N477/$M477)</f>
      </c>
      <c r="Q477" s="12">
        <f>IF(OR($P477="",$O477=""),"",$P477*365/$O477)</f>
      </c>
      <c r="R477">
        <f>IF($N477="",0,$M477*$O477)</f>
      </c>
      <c r="S477">
        <f>IF(OR($A477="",LEFT($B477,5)="LEAPS"),0,$D477*100*$E477)</f>
      </c>
    </row>
    <row r="478" spans="1:19" x14ac:dyDescent="0.25">
      <c r="A478" s="13"/>
      <c r="B478" s="14"/>
      <c r="C478" s="15"/>
      <c r="D478" s="15"/>
      <c r="E478" s="16"/>
      <c r="F478" s="17"/>
      <c r="G478" s="17"/>
      <c r="H478" s="14"/>
      <c r="I478" s="17"/>
      <c r="J478" s="15"/>
      <c r="K478" s="15"/>
      <c r="L478" s="15"/>
      <c r="M478" s="9">
        <f>IF($A478="","",IF(LEFT($B478,5)="LEAPS",$D478,$C478)*100*$E478)</f>
      </c>
      <c r="N478" s="10">
        <f>IF(OR($A478="",ISNUMBER(MATCH(LOWER($H478),{"open",""},0))),"",IF(LEFT($B478,5)="LEAPS",-1,1)*($D478-IF(ISNUMBER(MATCH(LOWER($H478),{"closed"},0)),$J478,0))*100*$E478-$K478-$L478)</f>
      </c>
      <c r="O478" s="11">
        <f>IF(OR($A478="",$F478=""),"",MAX(1,IF(ISNUMBER(MATCH(LOWER($H478),{"open",""},0)),MIN(TODAY(),$G478),IF($I478="",$G478,$I478))-$F478))</f>
      </c>
      <c r="P478" s="12">
        <f>IF(OR($N478="",$M478="",$M478=0),"",$N478/$M478)</f>
      </c>
      <c r="Q478" s="12">
        <f>IF(OR($P478="",$O478=""),"",$P478*365/$O478)</f>
      </c>
      <c r="R478">
        <f>IF($N478="",0,$M478*$O478)</f>
      </c>
      <c r="S478">
        <f>IF(OR($A478="",LEFT($B478,5)="LEAPS"),0,$D478*100*$E478)</f>
      </c>
    </row>
    <row r="479" spans="1:19" x14ac:dyDescent="0.25">
      <c r="A479" s="13"/>
      <c r="B479" s="14"/>
      <c r="C479" s="15"/>
      <c r="D479" s="15"/>
      <c r="E479" s="16"/>
      <c r="F479" s="17"/>
      <c r="G479" s="17"/>
      <c r="H479" s="14"/>
      <c r="I479" s="17"/>
      <c r="J479" s="15"/>
      <c r="K479" s="15"/>
      <c r="L479" s="15"/>
      <c r="M479" s="9">
        <f>IF($A479="","",IF(LEFT($B479,5)="LEAPS",$D479,$C479)*100*$E479)</f>
      </c>
      <c r="N479" s="10">
        <f>IF(OR($A479="",ISNUMBER(MATCH(LOWER($H479),{"open",""},0))),"",IF(LEFT($B479,5)="LEAPS",-1,1)*($D479-IF(ISNUMBER(MATCH(LOWER($H479),{"closed"},0)),$J479,0))*100*$E479-$K479-$L479)</f>
      </c>
      <c r="O479" s="11">
        <f>IF(OR($A479="",$F479=""),"",MAX(1,IF(ISNUMBER(MATCH(LOWER($H479),{"open",""},0)),MIN(TODAY(),$G479),IF($I479="",$G479,$I479))-$F479))</f>
      </c>
      <c r="P479" s="12">
        <f>IF(OR($N479="",$M479="",$M479=0),"",$N479/$M479)</f>
      </c>
      <c r="Q479" s="12">
        <f>IF(OR($P479="",$O479=""),"",$P479*365/$O479)</f>
      </c>
      <c r="R479">
        <f>IF($N479="",0,$M479*$O479)</f>
      </c>
      <c r="S479">
        <f>IF(OR($A479="",LEFT($B479,5)="LEAPS"),0,$D479*100*$E479)</f>
      </c>
    </row>
    <row r="480" spans="1:19" x14ac:dyDescent="0.25">
      <c r="A480" s="13"/>
      <c r="B480" s="14"/>
      <c r="C480" s="15"/>
      <c r="D480" s="15"/>
      <c r="E480" s="16"/>
      <c r="F480" s="17"/>
      <c r="G480" s="17"/>
      <c r="H480" s="14"/>
      <c r="I480" s="17"/>
      <c r="J480" s="15"/>
      <c r="K480" s="15"/>
      <c r="L480" s="15"/>
      <c r="M480" s="9">
        <f>IF($A480="","",IF(LEFT($B480,5)="LEAPS",$D480,$C480)*100*$E480)</f>
      </c>
      <c r="N480" s="10">
        <f>IF(OR($A480="",ISNUMBER(MATCH(LOWER($H480),{"open",""},0))),"",IF(LEFT($B480,5)="LEAPS",-1,1)*($D480-IF(ISNUMBER(MATCH(LOWER($H480),{"closed"},0)),$J480,0))*100*$E480-$K480-$L480)</f>
      </c>
      <c r="O480" s="11">
        <f>IF(OR($A480="",$F480=""),"",MAX(1,IF(ISNUMBER(MATCH(LOWER($H480),{"open",""},0)),MIN(TODAY(),$G480),IF($I480="",$G480,$I480))-$F480))</f>
      </c>
      <c r="P480" s="12">
        <f>IF(OR($N480="",$M480="",$M480=0),"",$N480/$M480)</f>
      </c>
      <c r="Q480" s="12">
        <f>IF(OR($P480="",$O480=""),"",$P480*365/$O480)</f>
      </c>
      <c r="R480">
        <f>IF($N480="",0,$M480*$O480)</f>
      </c>
      <c r="S480">
        <f>IF(OR($A480="",LEFT($B480,5)="LEAPS"),0,$D480*100*$E480)</f>
      </c>
    </row>
    <row r="481" spans="1:19" x14ac:dyDescent="0.25">
      <c r="A481" s="13"/>
      <c r="B481" s="14"/>
      <c r="C481" s="15"/>
      <c r="D481" s="15"/>
      <c r="E481" s="16"/>
      <c r="F481" s="17"/>
      <c r="G481" s="17"/>
      <c r="H481" s="14"/>
      <c r="I481" s="17"/>
      <c r="J481" s="15"/>
      <c r="K481" s="15"/>
      <c r="L481" s="15"/>
      <c r="M481" s="9">
        <f>IF($A481="","",IF(LEFT($B481,5)="LEAPS",$D481,$C481)*100*$E481)</f>
      </c>
      <c r="N481" s="10">
        <f>IF(OR($A481="",ISNUMBER(MATCH(LOWER($H481),{"open",""},0))),"",IF(LEFT($B481,5)="LEAPS",-1,1)*($D481-IF(ISNUMBER(MATCH(LOWER($H481),{"closed"},0)),$J481,0))*100*$E481-$K481-$L481)</f>
      </c>
      <c r="O481" s="11">
        <f>IF(OR($A481="",$F481=""),"",MAX(1,IF(ISNUMBER(MATCH(LOWER($H481),{"open",""},0)),MIN(TODAY(),$G481),IF($I481="",$G481,$I481))-$F481))</f>
      </c>
      <c r="P481" s="12">
        <f>IF(OR($N481="",$M481="",$M481=0),"",$N481/$M481)</f>
      </c>
      <c r="Q481" s="12">
        <f>IF(OR($P481="",$O481=""),"",$P481*365/$O481)</f>
      </c>
      <c r="R481">
        <f>IF($N481="",0,$M481*$O481)</f>
      </c>
      <c r="S481">
        <f>IF(OR($A481="",LEFT($B481,5)="LEAPS"),0,$D481*100*$E481)</f>
      </c>
    </row>
    <row r="482" spans="1:19" x14ac:dyDescent="0.25">
      <c r="A482" s="13"/>
      <c r="B482" s="14"/>
      <c r="C482" s="15"/>
      <c r="D482" s="15"/>
      <c r="E482" s="16"/>
      <c r="F482" s="17"/>
      <c r="G482" s="17"/>
      <c r="H482" s="14"/>
      <c r="I482" s="17"/>
      <c r="J482" s="15"/>
      <c r="K482" s="15"/>
      <c r="L482" s="15"/>
      <c r="M482" s="9">
        <f>IF($A482="","",IF(LEFT($B482,5)="LEAPS",$D482,$C482)*100*$E482)</f>
      </c>
      <c r="N482" s="10">
        <f>IF(OR($A482="",ISNUMBER(MATCH(LOWER($H482),{"open",""},0))),"",IF(LEFT($B482,5)="LEAPS",-1,1)*($D482-IF(ISNUMBER(MATCH(LOWER($H482),{"closed"},0)),$J482,0))*100*$E482-$K482-$L482)</f>
      </c>
      <c r="O482" s="11">
        <f>IF(OR($A482="",$F482=""),"",MAX(1,IF(ISNUMBER(MATCH(LOWER($H482),{"open",""},0)),MIN(TODAY(),$G482),IF($I482="",$G482,$I482))-$F482))</f>
      </c>
      <c r="P482" s="12">
        <f>IF(OR($N482="",$M482="",$M482=0),"",$N482/$M482)</f>
      </c>
      <c r="Q482" s="12">
        <f>IF(OR($P482="",$O482=""),"",$P482*365/$O482)</f>
      </c>
      <c r="R482">
        <f>IF($N482="",0,$M482*$O482)</f>
      </c>
      <c r="S482">
        <f>IF(OR($A482="",LEFT($B482,5)="LEAPS"),0,$D482*100*$E482)</f>
      </c>
    </row>
    <row r="483" spans="1:19" x14ac:dyDescent="0.25">
      <c r="A483" s="13"/>
      <c r="B483" s="14"/>
      <c r="C483" s="15"/>
      <c r="D483" s="15"/>
      <c r="E483" s="16"/>
      <c r="F483" s="17"/>
      <c r="G483" s="17"/>
      <c r="H483" s="14"/>
      <c r="I483" s="17"/>
      <c r="J483" s="15"/>
      <c r="K483" s="15"/>
      <c r="L483" s="15"/>
      <c r="M483" s="9">
        <f>IF($A483="","",IF(LEFT($B483,5)="LEAPS",$D483,$C483)*100*$E483)</f>
      </c>
      <c r="N483" s="10">
        <f>IF(OR($A483="",ISNUMBER(MATCH(LOWER($H483),{"open",""},0))),"",IF(LEFT($B483,5)="LEAPS",-1,1)*($D483-IF(ISNUMBER(MATCH(LOWER($H483),{"closed"},0)),$J483,0))*100*$E483-$K483-$L483)</f>
      </c>
      <c r="O483" s="11">
        <f>IF(OR($A483="",$F483=""),"",MAX(1,IF(ISNUMBER(MATCH(LOWER($H483),{"open",""},0)),MIN(TODAY(),$G483),IF($I483="",$G483,$I483))-$F483))</f>
      </c>
      <c r="P483" s="12">
        <f>IF(OR($N483="",$M483="",$M483=0),"",$N483/$M483)</f>
      </c>
      <c r="Q483" s="12">
        <f>IF(OR($P483="",$O483=""),"",$P483*365/$O483)</f>
      </c>
      <c r="R483">
        <f>IF($N483="",0,$M483*$O483)</f>
      </c>
      <c r="S483">
        <f>IF(OR($A483="",LEFT($B483,5)="LEAPS"),0,$D483*100*$E483)</f>
      </c>
    </row>
    <row r="484" spans="1:19" x14ac:dyDescent="0.25">
      <c r="A484" s="13"/>
      <c r="B484" s="14"/>
      <c r="C484" s="15"/>
      <c r="D484" s="15"/>
      <c r="E484" s="16"/>
      <c r="F484" s="17"/>
      <c r="G484" s="17"/>
      <c r="H484" s="14"/>
      <c r="I484" s="17"/>
      <c r="J484" s="15"/>
      <c r="K484" s="15"/>
      <c r="L484" s="15"/>
      <c r="M484" s="9">
        <f>IF($A484="","",IF(LEFT($B484,5)="LEAPS",$D484,$C484)*100*$E484)</f>
      </c>
      <c r="N484" s="10">
        <f>IF(OR($A484="",ISNUMBER(MATCH(LOWER($H484),{"open",""},0))),"",IF(LEFT($B484,5)="LEAPS",-1,1)*($D484-IF(ISNUMBER(MATCH(LOWER($H484),{"closed"},0)),$J484,0))*100*$E484-$K484-$L484)</f>
      </c>
      <c r="O484" s="11">
        <f>IF(OR($A484="",$F484=""),"",MAX(1,IF(ISNUMBER(MATCH(LOWER($H484),{"open",""},0)),MIN(TODAY(),$G484),IF($I484="",$G484,$I484))-$F484))</f>
      </c>
      <c r="P484" s="12">
        <f>IF(OR($N484="",$M484="",$M484=0),"",$N484/$M484)</f>
      </c>
      <c r="Q484" s="12">
        <f>IF(OR($P484="",$O484=""),"",$P484*365/$O484)</f>
      </c>
      <c r="R484">
        <f>IF($N484="",0,$M484*$O484)</f>
      </c>
      <c r="S484">
        <f>IF(OR($A484="",LEFT($B484,5)="LEAPS"),0,$D484*100*$E484)</f>
      </c>
    </row>
    <row r="485" spans="1:19" x14ac:dyDescent="0.25">
      <c r="A485" s="13"/>
      <c r="B485" s="14"/>
      <c r="C485" s="15"/>
      <c r="D485" s="15"/>
      <c r="E485" s="16"/>
      <c r="F485" s="17"/>
      <c r="G485" s="17"/>
      <c r="H485" s="14"/>
      <c r="I485" s="17"/>
      <c r="J485" s="15"/>
      <c r="K485" s="15"/>
      <c r="L485" s="15"/>
      <c r="M485" s="9">
        <f>IF($A485="","",IF(LEFT($B485,5)="LEAPS",$D485,$C485)*100*$E485)</f>
      </c>
      <c r="N485" s="10">
        <f>IF(OR($A485="",ISNUMBER(MATCH(LOWER($H485),{"open",""},0))),"",IF(LEFT($B485,5)="LEAPS",-1,1)*($D485-IF(ISNUMBER(MATCH(LOWER($H485),{"closed"},0)),$J485,0))*100*$E485-$K485-$L485)</f>
      </c>
      <c r="O485" s="11">
        <f>IF(OR($A485="",$F485=""),"",MAX(1,IF(ISNUMBER(MATCH(LOWER($H485),{"open",""},0)),MIN(TODAY(),$G485),IF($I485="",$G485,$I485))-$F485))</f>
      </c>
      <c r="P485" s="12">
        <f>IF(OR($N485="",$M485="",$M485=0),"",$N485/$M485)</f>
      </c>
      <c r="Q485" s="12">
        <f>IF(OR($P485="",$O485=""),"",$P485*365/$O485)</f>
      </c>
      <c r="R485">
        <f>IF($N485="",0,$M485*$O485)</f>
      </c>
      <c r="S485">
        <f>IF(OR($A485="",LEFT($B485,5)="LEAPS"),0,$D485*100*$E485)</f>
      </c>
    </row>
    <row r="486" spans="1:19" x14ac:dyDescent="0.25">
      <c r="A486" s="13"/>
      <c r="B486" s="14"/>
      <c r="C486" s="15"/>
      <c r="D486" s="15"/>
      <c r="E486" s="16"/>
      <c r="F486" s="17"/>
      <c r="G486" s="17"/>
      <c r="H486" s="14"/>
      <c r="I486" s="17"/>
      <c r="J486" s="15"/>
      <c r="K486" s="15"/>
      <c r="L486" s="15"/>
      <c r="M486" s="9">
        <f>IF($A486="","",IF(LEFT($B486,5)="LEAPS",$D486,$C486)*100*$E486)</f>
      </c>
      <c r="N486" s="10">
        <f>IF(OR($A486="",ISNUMBER(MATCH(LOWER($H486),{"open",""},0))),"",IF(LEFT($B486,5)="LEAPS",-1,1)*($D486-IF(ISNUMBER(MATCH(LOWER($H486),{"closed"},0)),$J486,0))*100*$E486-$K486-$L486)</f>
      </c>
      <c r="O486" s="11">
        <f>IF(OR($A486="",$F486=""),"",MAX(1,IF(ISNUMBER(MATCH(LOWER($H486),{"open",""},0)),MIN(TODAY(),$G486),IF($I486="",$G486,$I486))-$F486))</f>
      </c>
      <c r="P486" s="12">
        <f>IF(OR($N486="",$M486="",$M486=0),"",$N486/$M486)</f>
      </c>
      <c r="Q486" s="12">
        <f>IF(OR($P486="",$O486=""),"",$P486*365/$O486)</f>
      </c>
      <c r="R486">
        <f>IF($N486="",0,$M486*$O486)</f>
      </c>
      <c r="S486">
        <f>IF(OR($A486="",LEFT($B486,5)="LEAPS"),0,$D486*100*$E486)</f>
      </c>
    </row>
    <row r="487" spans="1:19" x14ac:dyDescent="0.25">
      <c r="A487" s="13"/>
      <c r="B487" s="14"/>
      <c r="C487" s="15"/>
      <c r="D487" s="15"/>
      <c r="E487" s="16"/>
      <c r="F487" s="17"/>
      <c r="G487" s="17"/>
      <c r="H487" s="14"/>
      <c r="I487" s="17"/>
      <c r="J487" s="15"/>
      <c r="K487" s="15"/>
      <c r="L487" s="15"/>
      <c r="M487" s="9">
        <f>IF($A487="","",IF(LEFT($B487,5)="LEAPS",$D487,$C487)*100*$E487)</f>
      </c>
      <c r="N487" s="10">
        <f>IF(OR($A487="",ISNUMBER(MATCH(LOWER($H487),{"open",""},0))),"",IF(LEFT($B487,5)="LEAPS",-1,1)*($D487-IF(ISNUMBER(MATCH(LOWER($H487),{"closed"},0)),$J487,0))*100*$E487-$K487-$L487)</f>
      </c>
      <c r="O487" s="11">
        <f>IF(OR($A487="",$F487=""),"",MAX(1,IF(ISNUMBER(MATCH(LOWER($H487),{"open",""},0)),MIN(TODAY(),$G487),IF($I487="",$G487,$I487))-$F487))</f>
      </c>
      <c r="P487" s="12">
        <f>IF(OR($N487="",$M487="",$M487=0),"",$N487/$M487)</f>
      </c>
      <c r="Q487" s="12">
        <f>IF(OR($P487="",$O487=""),"",$P487*365/$O487)</f>
      </c>
      <c r="R487">
        <f>IF($N487="",0,$M487*$O487)</f>
      </c>
      <c r="S487">
        <f>IF(OR($A487="",LEFT($B487,5)="LEAPS"),0,$D487*100*$E487)</f>
      </c>
    </row>
    <row r="488" spans="1:19" x14ac:dyDescent="0.25">
      <c r="A488" s="13"/>
      <c r="B488" s="14"/>
      <c r="C488" s="15"/>
      <c r="D488" s="15"/>
      <c r="E488" s="16"/>
      <c r="F488" s="17"/>
      <c r="G488" s="17"/>
      <c r="H488" s="14"/>
      <c r="I488" s="17"/>
      <c r="J488" s="15"/>
      <c r="K488" s="15"/>
      <c r="L488" s="15"/>
      <c r="M488" s="9">
        <f>IF($A488="","",IF(LEFT($B488,5)="LEAPS",$D488,$C488)*100*$E488)</f>
      </c>
      <c r="N488" s="10">
        <f>IF(OR($A488="",ISNUMBER(MATCH(LOWER($H488),{"open",""},0))),"",IF(LEFT($B488,5)="LEAPS",-1,1)*($D488-IF(ISNUMBER(MATCH(LOWER($H488),{"closed"},0)),$J488,0))*100*$E488-$K488-$L488)</f>
      </c>
      <c r="O488" s="11">
        <f>IF(OR($A488="",$F488=""),"",MAX(1,IF(ISNUMBER(MATCH(LOWER($H488),{"open",""},0)),MIN(TODAY(),$G488),IF($I488="",$G488,$I488))-$F488))</f>
      </c>
      <c r="P488" s="12">
        <f>IF(OR($N488="",$M488="",$M488=0),"",$N488/$M488)</f>
      </c>
      <c r="Q488" s="12">
        <f>IF(OR($P488="",$O488=""),"",$P488*365/$O488)</f>
      </c>
      <c r="R488">
        <f>IF($N488="",0,$M488*$O488)</f>
      </c>
      <c r="S488">
        <f>IF(OR($A488="",LEFT($B488,5)="LEAPS"),0,$D488*100*$E488)</f>
      </c>
    </row>
    <row r="489" spans="1:19" x14ac:dyDescent="0.25">
      <c r="A489" s="13"/>
      <c r="B489" s="14"/>
      <c r="C489" s="15"/>
      <c r="D489" s="15"/>
      <c r="E489" s="16"/>
      <c r="F489" s="17"/>
      <c r="G489" s="17"/>
      <c r="H489" s="14"/>
      <c r="I489" s="17"/>
      <c r="J489" s="15"/>
      <c r="K489" s="15"/>
      <c r="L489" s="15"/>
      <c r="M489" s="9">
        <f>IF($A489="","",IF(LEFT($B489,5)="LEAPS",$D489,$C489)*100*$E489)</f>
      </c>
      <c r="N489" s="10">
        <f>IF(OR($A489="",ISNUMBER(MATCH(LOWER($H489),{"open",""},0))),"",IF(LEFT($B489,5)="LEAPS",-1,1)*($D489-IF(ISNUMBER(MATCH(LOWER($H489),{"closed"},0)),$J489,0))*100*$E489-$K489-$L489)</f>
      </c>
      <c r="O489" s="11">
        <f>IF(OR($A489="",$F489=""),"",MAX(1,IF(ISNUMBER(MATCH(LOWER($H489),{"open",""},0)),MIN(TODAY(),$G489),IF($I489="",$G489,$I489))-$F489))</f>
      </c>
      <c r="P489" s="12">
        <f>IF(OR($N489="",$M489="",$M489=0),"",$N489/$M489)</f>
      </c>
      <c r="Q489" s="12">
        <f>IF(OR($P489="",$O489=""),"",$P489*365/$O489)</f>
      </c>
      <c r="R489">
        <f>IF($N489="",0,$M489*$O489)</f>
      </c>
      <c r="S489">
        <f>IF(OR($A489="",LEFT($B489,5)="LEAPS"),0,$D489*100*$E489)</f>
      </c>
    </row>
    <row r="490" spans="1:19" x14ac:dyDescent="0.25">
      <c r="A490" s="13"/>
      <c r="B490" s="14"/>
      <c r="C490" s="15"/>
      <c r="D490" s="15"/>
      <c r="E490" s="16"/>
      <c r="F490" s="17"/>
      <c r="G490" s="17"/>
      <c r="H490" s="14"/>
      <c r="I490" s="17"/>
      <c r="J490" s="15"/>
      <c r="K490" s="15"/>
      <c r="L490" s="15"/>
      <c r="M490" s="9">
        <f>IF($A490="","",IF(LEFT($B490,5)="LEAPS",$D490,$C490)*100*$E490)</f>
      </c>
      <c r="N490" s="10">
        <f>IF(OR($A490="",ISNUMBER(MATCH(LOWER($H490),{"open",""},0))),"",IF(LEFT($B490,5)="LEAPS",-1,1)*($D490-IF(ISNUMBER(MATCH(LOWER($H490),{"closed"},0)),$J490,0))*100*$E490-$K490-$L490)</f>
      </c>
      <c r="O490" s="11">
        <f>IF(OR($A490="",$F490=""),"",MAX(1,IF(ISNUMBER(MATCH(LOWER($H490),{"open",""},0)),MIN(TODAY(),$G490),IF($I490="",$G490,$I490))-$F490))</f>
      </c>
      <c r="P490" s="12">
        <f>IF(OR($N490="",$M490="",$M490=0),"",$N490/$M490)</f>
      </c>
      <c r="Q490" s="12">
        <f>IF(OR($P490="",$O490=""),"",$P490*365/$O490)</f>
      </c>
      <c r="R490">
        <f>IF($N490="",0,$M490*$O490)</f>
      </c>
      <c r="S490">
        <f>IF(OR($A490="",LEFT($B490,5)="LEAPS"),0,$D490*100*$E490)</f>
      </c>
    </row>
    <row r="491" spans="1:19" x14ac:dyDescent="0.25">
      <c r="A491" s="13"/>
      <c r="B491" s="14"/>
      <c r="C491" s="15"/>
      <c r="D491" s="15"/>
      <c r="E491" s="16"/>
      <c r="F491" s="17"/>
      <c r="G491" s="17"/>
      <c r="H491" s="14"/>
      <c r="I491" s="17"/>
      <c r="J491" s="15"/>
      <c r="K491" s="15"/>
      <c r="L491" s="15"/>
      <c r="M491" s="9">
        <f>IF($A491="","",IF(LEFT($B491,5)="LEAPS",$D491,$C491)*100*$E491)</f>
      </c>
      <c r="N491" s="10">
        <f>IF(OR($A491="",ISNUMBER(MATCH(LOWER($H491),{"open",""},0))),"",IF(LEFT($B491,5)="LEAPS",-1,1)*($D491-IF(ISNUMBER(MATCH(LOWER($H491),{"closed"},0)),$J491,0))*100*$E491-$K491-$L491)</f>
      </c>
      <c r="O491" s="11">
        <f>IF(OR($A491="",$F491=""),"",MAX(1,IF(ISNUMBER(MATCH(LOWER($H491),{"open",""},0)),MIN(TODAY(),$G491),IF($I491="",$G491,$I491))-$F491))</f>
      </c>
      <c r="P491" s="12">
        <f>IF(OR($N491="",$M491="",$M491=0),"",$N491/$M491)</f>
      </c>
      <c r="Q491" s="12">
        <f>IF(OR($P491="",$O491=""),"",$P491*365/$O491)</f>
      </c>
      <c r="R491">
        <f>IF($N491="",0,$M491*$O491)</f>
      </c>
      <c r="S491">
        <f>IF(OR($A491="",LEFT($B491,5)="LEAPS"),0,$D491*100*$E491)</f>
      </c>
    </row>
    <row r="492" spans="1:19" x14ac:dyDescent="0.25">
      <c r="A492" s="13"/>
      <c r="B492" s="14"/>
      <c r="C492" s="15"/>
      <c r="D492" s="15"/>
      <c r="E492" s="16"/>
      <c r="F492" s="17"/>
      <c r="G492" s="17"/>
      <c r="H492" s="14"/>
      <c r="I492" s="17"/>
      <c r="J492" s="15"/>
      <c r="K492" s="15"/>
      <c r="L492" s="15"/>
      <c r="M492" s="9">
        <f>IF($A492="","",IF(LEFT($B492,5)="LEAPS",$D492,$C492)*100*$E492)</f>
      </c>
      <c r="N492" s="10">
        <f>IF(OR($A492="",ISNUMBER(MATCH(LOWER($H492),{"open",""},0))),"",IF(LEFT($B492,5)="LEAPS",-1,1)*($D492-IF(ISNUMBER(MATCH(LOWER($H492),{"closed"},0)),$J492,0))*100*$E492-$K492-$L492)</f>
      </c>
      <c r="O492" s="11">
        <f>IF(OR($A492="",$F492=""),"",MAX(1,IF(ISNUMBER(MATCH(LOWER($H492),{"open",""},0)),MIN(TODAY(),$G492),IF($I492="",$G492,$I492))-$F492))</f>
      </c>
      <c r="P492" s="12">
        <f>IF(OR($N492="",$M492="",$M492=0),"",$N492/$M492)</f>
      </c>
      <c r="Q492" s="12">
        <f>IF(OR($P492="",$O492=""),"",$P492*365/$O492)</f>
      </c>
      <c r="R492">
        <f>IF($N492="",0,$M492*$O492)</f>
      </c>
      <c r="S492">
        <f>IF(OR($A492="",LEFT($B492,5)="LEAPS"),0,$D492*100*$E492)</f>
      </c>
    </row>
    <row r="493" spans="1:19" x14ac:dyDescent="0.25">
      <c r="A493" s="13"/>
      <c r="B493" s="14"/>
      <c r="C493" s="15"/>
      <c r="D493" s="15"/>
      <c r="E493" s="16"/>
      <c r="F493" s="17"/>
      <c r="G493" s="17"/>
      <c r="H493" s="14"/>
      <c r="I493" s="17"/>
      <c r="J493" s="15"/>
      <c r="K493" s="15"/>
      <c r="L493" s="15"/>
      <c r="M493" s="9">
        <f>IF($A493="","",IF(LEFT($B493,5)="LEAPS",$D493,$C493)*100*$E493)</f>
      </c>
      <c r="N493" s="10">
        <f>IF(OR($A493="",ISNUMBER(MATCH(LOWER($H493),{"open",""},0))),"",IF(LEFT($B493,5)="LEAPS",-1,1)*($D493-IF(ISNUMBER(MATCH(LOWER($H493),{"closed"},0)),$J493,0))*100*$E493-$K493-$L493)</f>
      </c>
      <c r="O493" s="11">
        <f>IF(OR($A493="",$F493=""),"",MAX(1,IF(ISNUMBER(MATCH(LOWER($H493),{"open",""},0)),MIN(TODAY(),$G493),IF($I493="",$G493,$I493))-$F493))</f>
      </c>
      <c r="P493" s="12">
        <f>IF(OR($N493="",$M493="",$M493=0),"",$N493/$M493)</f>
      </c>
      <c r="Q493" s="12">
        <f>IF(OR($P493="",$O493=""),"",$P493*365/$O493)</f>
      </c>
      <c r="R493">
        <f>IF($N493="",0,$M493*$O493)</f>
      </c>
      <c r="S493">
        <f>IF(OR($A493="",LEFT($B493,5)="LEAPS"),0,$D493*100*$E493)</f>
      </c>
    </row>
    <row r="494" spans="1:19" x14ac:dyDescent="0.25">
      <c r="A494" s="13"/>
      <c r="B494" s="14"/>
      <c r="C494" s="15"/>
      <c r="D494" s="15"/>
      <c r="E494" s="16"/>
      <c r="F494" s="17"/>
      <c r="G494" s="17"/>
      <c r="H494" s="14"/>
      <c r="I494" s="17"/>
      <c r="J494" s="15"/>
      <c r="K494" s="15"/>
      <c r="L494" s="15"/>
      <c r="M494" s="9">
        <f>IF($A494="","",IF(LEFT($B494,5)="LEAPS",$D494,$C494)*100*$E494)</f>
      </c>
      <c r="N494" s="10">
        <f>IF(OR($A494="",ISNUMBER(MATCH(LOWER($H494),{"open",""},0))),"",IF(LEFT($B494,5)="LEAPS",-1,1)*($D494-IF(ISNUMBER(MATCH(LOWER($H494),{"closed"},0)),$J494,0))*100*$E494-$K494-$L494)</f>
      </c>
      <c r="O494" s="11">
        <f>IF(OR($A494="",$F494=""),"",MAX(1,IF(ISNUMBER(MATCH(LOWER($H494),{"open",""},0)),MIN(TODAY(),$G494),IF($I494="",$G494,$I494))-$F494))</f>
      </c>
      <c r="P494" s="12">
        <f>IF(OR($N494="",$M494="",$M494=0),"",$N494/$M494)</f>
      </c>
      <c r="Q494" s="12">
        <f>IF(OR($P494="",$O494=""),"",$P494*365/$O494)</f>
      </c>
      <c r="R494">
        <f>IF($N494="",0,$M494*$O494)</f>
      </c>
      <c r="S494">
        <f>IF(OR($A494="",LEFT($B494,5)="LEAPS"),0,$D494*100*$E494)</f>
      </c>
    </row>
    <row r="495" spans="1:19" x14ac:dyDescent="0.25">
      <c r="A495" s="13"/>
      <c r="B495" s="14"/>
      <c r="C495" s="15"/>
      <c r="D495" s="15"/>
      <c r="E495" s="16"/>
      <c r="F495" s="17"/>
      <c r="G495" s="17"/>
      <c r="H495" s="14"/>
      <c r="I495" s="17"/>
      <c r="J495" s="15"/>
      <c r="K495" s="15"/>
      <c r="L495" s="15"/>
      <c r="M495" s="9">
        <f>IF($A495="","",IF(LEFT($B495,5)="LEAPS",$D495,$C495)*100*$E495)</f>
      </c>
      <c r="N495" s="10">
        <f>IF(OR($A495="",ISNUMBER(MATCH(LOWER($H495),{"open",""},0))),"",IF(LEFT($B495,5)="LEAPS",-1,1)*($D495-IF(ISNUMBER(MATCH(LOWER($H495),{"closed"},0)),$J495,0))*100*$E495-$K495-$L495)</f>
      </c>
      <c r="O495" s="11">
        <f>IF(OR($A495="",$F495=""),"",MAX(1,IF(ISNUMBER(MATCH(LOWER($H495),{"open",""},0)),MIN(TODAY(),$G495),IF($I495="",$G495,$I495))-$F495))</f>
      </c>
      <c r="P495" s="12">
        <f>IF(OR($N495="",$M495="",$M495=0),"",$N495/$M495)</f>
      </c>
      <c r="Q495" s="12">
        <f>IF(OR($P495="",$O495=""),"",$P495*365/$O495)</f>
      </c>
      <c r="R495">
        <f>IF($N495="",0,$M495*$O495)</f>
      </c>
      <c r="S495">
        <f>IF(OR($A495="",LEFT($B495,5)="LEAPS"),0,$D495*100*$E495)</f>
      </c>
    </row>
    <row r="496" spans="1:19" x14ac:dyDescent="0.25">
      <c r="A496" s="13"/>
      <c r="B496" s="14"/>
      <c r="C496" s="15"/>
      <c r="D496" s="15"/>
      <c r="E496" s="16"/>
      <c r="F496" s="17"/>
      <c r="G496" s="17"/>
      <c r="H496" s="14"/>
      <c r="I496" s="17"/>
      <c r="J496" s="15"/>
      <c r="K496" s="15"/>
      <c r="L496" s="15"/>
      <c r="M496" s="9">
        <f>IF($A496="","",IF(LEFT($B496,5)="LEAPS",$D496,$C496)*100*$E496)</f>
      </c>
      <c r="N496" s="10">
        <f>IF(OR($A496="",ISNUMBER(MATCH(LOWER($H496),{"open",""},0))),"",IF(LEFT($B496,5)="LEAPS",-1,1)*($D496-IF(ISNUMBER(MATCH(LOWER($H496),{"closed"},0)),$J496,0))*100*$E496-$K496-$L496)</f>
      </c>
      <c r="O496" s="11">
        <f>IF(OR($A496="",$F496=""),"",MAX(1,IF(ISNUMBER(MATCH(LOWER($H496),{"open",""},0)),MIN(TODAY(),$G496),IF($I496="",$G496,$I496))-$F496))</f>
      </c>
      <c r="P496" s="12">
        <f>IF(OR($N496="",$M496="",$M496=0),"",$N496/$M496)</f>
      </c>
      <c r="Q496" s="12">
        <f>IF(OR($P496="",$O496=""),"",$P496*365/$O496)</f>
      </c>
      <c r="R496">
        <f>IF($N496="",0,$M496*$O496)</f>
      </c>
      <c r="S496">
        <f>IF(OR($A496="",LEFT($B496,5)="LEAPS"),0,$D496*100*$E496)</f>
      </c>
    </row>
    <row r="497" spans="1:19" x14ac:dyDescent="0.25">
      <c r="A497" s="13"/>
      <c r="B497" s="14"/>
      <c r="C497" s="15"/>
      <c r="D497" s="15"/>
      <c r="E497" s="16"/>
      <c r="F497" s="17"/>
      <c r="G497" s="17"/>
      <c r="H497" s="14"/>
      <c r="I497" s="17"/>
      <c r="J497" s="15"/>
      <c r="K497" s="15"/>
      <c r="L497" s="15"/>
      <c r="M497" s="9">
        <f>IF($A497="","",IF(LEFT($B497,5)="LEAPS",$D497,$C497)*100*$E497)</f>
      </c>
      <c r="N497" s="10">
        <f>IF(OR($A497="",ISNUMBER(MATCH(LOWER($H497),{"open",""},0))),"",IF(LEFT($B497,5)="LEAPS",-1,1)*($D497-IF(ISNUMBER(MATCH(LOWER($H497),{"closed"},0)),$J497,0))*100*$E497-$K497-$L497)</f>
      </c>
      <c r="O497" s="11">
        <f>IF(OR($A497="",$F497=""),"",MAX(1,IF(ISNUMBER(MATCH(LOWER($H497),{"open",""},0)),MIN(TODAY(),$G497),IF($I497="",$G497,$I497))-$F497))</f>
      </c>
      <c r="P497" s="12">
        <f>IF(OR($N497="",$M497="",$M497=0),"",$N497/$M497)</f>
      </c>
      <c r="Q497" s="12">
        <f>IF(OR($P497="",$O497=""),"",$P497*365/$O497)</f>
      </c>
      <c r="R497">
        <f>IF($N497="",0,$M497*$O497)</f>
      </c>
      <c r="S497">
        <f>IF(OR($A497="",LEFT($B497,5)="LEAPS"),0,$D497*100*$E497)</f>
      </c>
    </row>
    <row r="498" spans="1:19" x14ac:dyDescent="0.25">
      <c r="A498" s="13"/>
      <c r="B498" s="14"/>
      <c r="C498" s="15"/>
      <c r="D498" s="15"/>
      <c r="E498" s="16"/>
      <c r="F498" s="17"/>
      <c r="G498" s="17"/>
      <c r="H498" s="14"/>
      <c r="I498" s="17"/>
      <c r="J498" s="15"/>
      <c r="K498" s="15"/>
      <c r="L498" s="15"/>
      <c r="M498" s="9">
        <f>IF($A498="","",IF(LEFT($B498,5)="LEAPS",$D498,$C498)*100*$E498)</f>
      </c>
      <c r="N498" s="10">
        <f>IF(OR($A498="",ISNUMBER(MATCH(LOWER($H498),{"open",""},0))),"",IF(LEFT($B498,5)="LEAPS",-1,1)*($D498-IF(ISNUMBER(MATCH(LOWER($H498),{"closed"},0)),$J498,0))*100*$E498-$K498-$L498)</f>
      </c>
      <c r="O498" s="11">
        <f>IF(OR($A498="",$F498=""),"",MAX(1,IF(ISNUMBER(MATCH(LOWER($H498),{"open",""},0)),MIN(TODAY(),$G498),IF($I498="",$G498,$I498))-$F498))</f>
      </c>
      <c r="P498" s="12">
        <f>IF(OR($N498="",$M498="",$M498=0),"",$N498/$M498)</f>
      </c>
      <c r="Q498" s="12">
        <f>IF(OR($P498="",$O498=""),"",$P498*365/$O498)</f>
      </c>
      <c r="R498">
        <f>IF($N498="",0,$M498*$O498)</f>
      </c>
      <c r="S498">
        <f>IF(OR($A498="",LEFT($B498,5)="LEAPS"),0,$D498*100*$E498)</f>
      </c>
    </row>
    <row r="499" spans="1:19" x14ac:dyDescent="0.25">
      <c r="A499" s="13"/>
      <c r="B499" s="14"/>
      <c r="C499" s="15"/>
      <c r="D499" s="15"/>
      <c r="E499" s="16"/>
      <c r="F499" s="17"/>
      <c r="G499" s="17"/>
      <c r="H499" s="14"/>
      <c r="I499" s="17"/>
      <c r="J499" s="15"/>
      <c r="K499" s="15"/>
      <c r="L499" s="15"/>
      <c r="M499" s="9">
        <f>IF($A499="","",IF(LEFT($B499,5)="LEAPS",$D499,$C499)*100*$E499)</f>
      </c>
      <c r="N499" s="10">
        <f>IF(OR($A499="",ISNUMBER(MATCH(LOWER($H499),{"open",""},0))),"",IF(LEFT($B499,5)="LEAPS",-1,1)*($D499-IF(ISNUMBER(MATCH(LOWER($H499),{"closed"},0)),$J499,0))*100*$E499-$K499-$L499)</f>
      </c>
      <c r="O499" s="11">
        <f>IF(OR($A499="",$F499=""),"",MAX(1,IF(ISNUMBER(MATCH(LOWER($H499),{"open",""},0)),MIN(TODAY(),$G499),IF($I499="",$G499,$I499))-$F499))</f>
      </c>
      <c r="P499" s="12">
        <f>IF(OR($N499="",$M499="",$M499=0),"",$N499/$M499)</f>
      </c>
      <c r="Q499" s="12">
        <f>IF(OR($P499="",$O499=""),"",$P499*365/$O499)</f>
      </c>
      <c r="R499">
        <f>IF($N499="",0,$M499*$O499)</f>
      </c>
      <c r="S499">
        <f>IF(OR($A499="",LEFT($B499,5)="LEAPS"),0,$D499*100*$E499)</f>
      </c>
    </row>
    <row r="500" spans="1:19" x14ac:dyDescent="0.25">
      <c r="A500" s="13"/>
      <c r="B500" s="14"/>
      <c r="C500" s="15"/>
      <c r="D500" s="15"/>
      <c r="E500" s="16"/>
      <c r="F500" s="17"/>
      <c r="G500" s="17"/>
      <c r="H500" s="14"/>
      <c r="I500" s="17"/>
      <c r="J500" s="15"/>
      <c r="K500" s="15"/>
      <c r="L500" s="15"/>
      <c r="M500" s="9">
        <f>IF($A500="","",IF(LEFT($B500,5)="LEAPS",$D500,$C500)*100*$E500)</f>
      </c>
      <c r="N500" s="10">
        <f>IF(OR($A500="",ISNUMBER(MATCH(LOWER($H500),{"open",""},0))),"",IF(LEFT($B500,5)="LEAPS",-1,1)*($D500-IF(ISNUMBER(MATCH(LOWER($H500),{"closed"},0)),$J500,0))*100*$E500-$K500-$L500)</f>
      </c>
      <c r="O500" s="11">
        <f>IF(OR($A500="",$F500=""),"",MAX(1,IF(ISNUMBER(MATCH(LOWER($H500),{"open",""},0)),MIN(TODAY(),$G500),IF($I500="",$G500,$I500))-$F500))</f>
      </c>
      <c r="P500" s="12">
        <f>IF(OR($N500="",$M500="",$M500=0),"",$N500/$M500)</f>
      </c>
      <c r="Q500" s="12">
        <f>IF(OR($P500="",$O500=""),"",$P500*365/$O500)</f>
      </c>
      <c r="R500">
        <f>IF($N500="",0,$M500*$O500)</f>
      </c>
      <c r="S500">
        <f>IF(OR($A500="",LEFT($B500,5)="LEAPS"),0,$D500*100*$E500)</f>
      </c>
    </row>
    <row r="501" spans="1:19" x14ac:dyDescent="0.25">
      <c r="A501" s="13"/>
      <c r="B501" s="14"/>
      <c r="C501" s="15"/>
      <c r="D501" s="15"/>
      <c r="E501" s="16"/>
      <c r="F501" s="17"/>
      <c r="G501" s="17"/>
      <c r="H501" s="14"/>
      <c r="I501" s="17"/>
      <c r="J501" s="15"/>
      <c r="K501" s="15"/>
      <c r="L501" s="15"/>
      <c r="M501" s="9">
        <f>IF($A501="","",IF(LEFT($B501,5)="LEAPS",$D501,$C501)*100*$E501)</f>
      </c>
      <c r="N501" s="10">
        <f>IF(OR($A501="",ISNUMBER(MATCH(LOWER($H501),{"open",""},0))),"",IF(LEFT($B501,5)="LEAPS",-1,1)*($D501-IF(ISNUMBER(MATCH(LOWER($H501),{"closed"},0)),$J501,0))*100*$E501-$K501-$L501)</f>
      </c>
      <c r="O501" s="11">
        <f>IF(OR($A501="",$F501=""),"",MAX(1,IF(ISNUMBER(MATCH(LOWER($H501),{"open",""},0)),MIN(TODAY(),$G501),IF($I501="",$G501,$I501))-$F501))</f>
      </c>
      <c r="P501" s="12">
        <f>IF(OR($N501="",$M501="",$M501=0),"",$N501/$M501)</f>
      </c>
      <c r="Q501" s="12">
        <f>IF(OR($P501="",$O501=""),"",$P501*365/$O501)</f>
      </c>
      <c r="R501">
        <f>IF($N501="",0,$M501*$O501)</f>
      </c>
      <c r="S501">
        <f>IF(OR($A501="",LEFT($B501,5)="LEAPS"),0,$D501*100*$E501)</f>
      </c>
    </row>
  </sheetData>
  <autoFilter ref="A1:Q1"/>
  <conditionalFormatting sqref="N2:N501">
    <cfRule type="cellIs" dxfId="0" priority="1" operator="greaterThan">
      <formula>0</formula>
    </cfRule>
    <cfRule type="cellIs" dxfId="1" priority="2" operator="lessThan">
      <formula>0</formula>
    </cfRule>
  </conditionalFormatting>
  <conditionalFormatting sqref="Q2:Q501">
    <cfRule type="cellIs" dxfId="2" priority="3" operator="greaterThan">
      <formula>0</formula>
    </cfRule>
    <cfRule type="cellIs" dxfId="3" priority="4" operator="lessThan">
      <formula>0</formula>
    </cfRule>
  </conditionalFormatting>
  <conditionalFormatting sqref="H2:H501">
    <cfRule type="containsText" dxfId="4" priority="5">
      <formula>NOT(ISERROR(SEARCH("open",H2)))</formula>
    </cfRule>
    <cfRule type="containsText" dxfId="5" priority="6">
      <formula>NOT(ISERROR(SEARCH("closed",H2)))</formula>
    </cfRule>
    <cfRule type="containsText" dxfId="6" priority="7">
      <formula>NOT(ISERROR(SEARCH("expir",H2)))</formula>
    </cfRule>
    <cfRule type="containsText" dxfId="7" priority="8">
      <formula>NOT(ISERROR(SEARCH("assign",H2)))</formula>
    </cfRule>
  </conditionalFormatting>
  <dataValidations count="3">
    <dataValidation type="list" allowBlank="1" showErrorMessage="1" sqref="B2:B501">
      <formula1>"CSP,CC,LEAPS_CALL,LEAPS_PUT"</formula1>
    </dataValidation>
    <dataValidation type="whole" operator="greaterThan" allowBlank="1" sqref="E2:E501">
      <formula1>0</formula1>
    </dataValidation>
    <dataValidation type="list" allowBlank="1" showErrorMessage="1" sqref="H2:H501">
      <formula1>"open,closed,expired,assigned"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CED1"/>
  </sheetPr>
  <dimension ref="B2:G47"/>
  <sheetViews>
    <sheetView workbookViewId="0" showGridLines="0" zoomScale="110"/>
  </sheetViews>
  <sheetFormatPr defaultRowHeight="15" outlineLevelRow="0" outlineLevelCol="0" x14ac:dyDescent="55"/>
  <cols>
    <col min="1" max="1" width="3" customWidth="1"/>
    <col min="2" max="2" width="22" customWidth="1"/>
    <col min="3" max="3" width="18" customWidth="1"/>
    <col min="4" max="4" width="22" customWidth="1"/>
    <col min="5" max="5" width="18" customWidth="1"/>
    <col min="6" max="6" width="22" customWidth="1"/>
    <col min="7" max="7" width="18" customWidth="1"/>
    <col min="8" max="8" width="3" customWidth="1"/>
  </cols>
  <sheetData>
    <row r="2" ht="34" customHeight="1" spans="2:7" x14ac:dyDescent="0.25">
      <c r="B2" s="18" t="s">
        <v>27</v>
      </c>
      <c r="C2" s="18"/>
      <c r="D2" s="18"/>
      <c r="E2" s="18"/>
      <c r="F2" s="18"/>
      <c r="G2" s="18"/>
    </row>
    <row r="3" ht="32" customHeight="1" spans="2:7" x14ac:dyDescent="0.25">
      <c r="B3" s="19" t="s">
        <v>28</v>
      </c>
      <c r="C3" s="19"/>
      <c r="D3" s="19"/>
      <c r="E3" s="19"/>
      <c r="F3" s="19"/>
      <c r="G3" s="19"/>
    </row>
    <row r="5" ht="22" customHeight="1" spans="2:7" x14ac:dyDescent="0.25">
      <c r="B5" s="20" t="s">
        <v>29</v>
      </c>
      <c r="C5" s="20"/>
      <c r="D5" s="20" t="s">
        <v>30</v>
      </c>
      <c r="E5" s="20"/>
      <c r="F5" s="20" t="s">
        <v>31</v>
      </c>
      <c r="G5" s="20"/>
    </row>
    <row r="6" ht="36" customHeight="1" spans="2:7" x14ac:dyDescent="0.25">
      <c r="B6" s="21">
        <f>SUM('Trades'!$S$2:$S$501)</f>
      </c>
      <c r="C6" s="21"/>
      <c r="D6" s="22">
        <f>SUM('Trades'!$N$2:$N$501)</f>
      </c>
      <c r="E6" s="22"/>
      <c r="F6" s="23">
        <f>IFERROR(COUNTIF('Trades'!$N$2:$N$501,"&gt;0")/COUNT('Trades'!$N$2:$N$501),"")</f>
      </c>
      <c r="G6" s="23"/>
    </row>
    <row r="8" ht="22" customHeight="1" spans="2:7" x14ac:dyDescent="0.25">
      <c r="B8" s="20" t="s">
        <v>32</v>
      </c>
      <c r="C8" s="20"/>
      <c r="D8" s="20" t="s">
        <v>33</v>
      </c>
      <c r="E8" s="20"/>
      <c r="F8" s="20" t="s">
        <v>34</v>
      </c>
      <c r="G8" s="20"/>
    </row>
    <row r="9" ht="36" customHeight="1" spans="2:7" x14ac:dyDescent="0.25">
      <c r="B9" s="23">
        <f>IFERROR(SUM('Trades'!$N$2:$N$501)/SUM('Trades'!$R$2:$R$501)*365,"")</f>
      </c>
      <c r="C9" s="23"/>
      <c r="D9" s="24">
        <f>SUMPRODUCT(('Trades'!$A$2:$A$501&lt;&gt;"")*ISNUMBER(MATCH(LOWER('Trades'!$H$2:$H$501),{"open",""},0)))</f>
      </c>
      <c r="E9" s="24"/>
      <c r="F9" s="25">
        <f>SUMPRODUCT(('Trades'!$A$2:$A$501&lt;&gt;"")*ISNUMBER(MATCH(LOWER('Trades'!$H$2:$H$501),{"open",""},0))*((LEFT('Trades'!$B$2:$B$501,5)="LEAPS")*'Trades'!$D$2:$D$501+(LEFT('Trades'!$B$2:$B$501,5)&lt;&gt;"LEAPS")*'Trades'!$C$2:$C$501)*'Trades'!$E$2:$E$501*100)</f>
      </c>
      <c r="G9" s="25"/>
    </row>
    <row r="12" spans="2:2" x14ac:dyDescent="0.25">
      <c r="B12" s="26" t="s">
        <v>35</v>
      </c>
    </row>
    <row r="13" spans="2:6" x14ac:dyDescent="0.25">
      <c r="B13" s="27" t="s">
        <v>0</v>
      </c>
      <c r="C13" s="28" t="s">
        <v>36</v>
      </c>
      <c r="D13" s="28" t="s">
        <v>37</v>
      </c>
      <c r="E13" s="28" t="s">
        <v>38</v>
      </c>
      <c r="F13" s="28" t="s">
        <v>39</v>
      </c>
    </row>
    <row r="14" spans="2:6" x14ac:dyDescent="0.25">
      <c r="B14" s="29" t="s">
        <v>19</v>
      </c>
      <c r="C14" s="30">
        <f>IF($B14="","",COUNTIF('Trades'!$A$2:$A$501,$B14))</f>
      </c>
      <c r="D14" s="31">
        <f>IF($B14="","",SUMIF('Trades'!$A$2:$A$501,$B14,'Trades'!$S$2:$S$501))</f>
      </c>
      <c r="E14" s="32">
        <f>IF($B14="","",SUMIF('Trades'!$A$2:$A$501,$B14,'Trades'!$N$2:$N$501))</f>
      </c>
      <c r="F14" s="30">
        <f>IF($B14="","",SUMPRODUCT(('Trades'!$A$2:$A$501=$B14)*ISNUMBER(MATCH(LOWER('Trades'!$H$2:$H$501),{"open",""},0))))</f>
      </c>
    </row>
    <row r="15" spans="2:6" x14ac:dyDescent="0.25">
      <c r="B15" s="33" t="s">
        <v>25</v>
      </c>
      <c r="C15" s="34">
        <f>IF($B15="","",COUNTIF('Trades'!$A$2:$A$501,$B15))</f>
      </c>
      <c r="D15" s="35">
        <f>IF($B15="","",SUMIF('Trades'!$A$2:$A$501,$B15,'Trades'!$S$2:$S$501))</f>
      </c>
      <c r="E15" s="36">
        <f>IF($B15="","",SUMIF('Trades'!$A$2:$A$501,$B15,'Trades'!$N$2:$N$501))</f>
      </c>
      <c r="F15" s="34">
        <f>IF($B15="","",SUMPRODUCT(('Trades'!$A$2:$A$501=$B15)*ISNUMBER(MATCH(LOWER('Trades'!$H$2:$H$501),{"open",""},0))))</f>
      </c>
    </row>
    <row r="16" spans="2:6" x14ac:dyDescent="0.25">
      <c r="B16" s="29"/>
      <c r="C16" s="30">
        <f>IF($B16="","",COUNTIF('Trades'!$A$2:$A$501,$B16))</f>
      </c>
      <c r="D16" s="31">
        <f>IF($B16="","",SUMIF('Trades'!$A$2:$A$501,$B16,'Trades'!$S$2:$S$501))</f>
      </c>
      <c r="E16" s="32">
        <f>IF($B16="","",SUMIF('Trades'!$A$2:$A$501,$B16,'Trades'!$N$2:$N$501))</f>
      </c>
      <c r="F16" s="30">
        <f>IF($B16="","",SUMPRODUCT(('Trades'!$A$2:$A$501=$B16)*ISNUMBER(MATCH(LOWER('Trades'!$H$2:$H$501),{"open",""},0))))</f>
      </c>
    </row>
    <row r="17" spans="2:6" x14ac:dyDescent="0.25">
      <c r="B17" s="33"/>
      <c r="C17" s="34">
        <f>IF($B17="","",COUNTIF('Trades'!$A$2:$A$501,$B17))</f>
      </c>
      <c r="D17" s="35">
        <f>IF($B17="","",SUMIF('Trades'!$A$2:$A$501,$B17,'Trades'!$S$2:$S$501))</f>
      </c>
      <c r="E17" s="36">
        <f>IF($B17="","",SUMIF('Trades'!$A$2:$A$501,$B17,'Trades'!$N$2:$N$501))</f>
      </c>
      <c r="F17" s="34">
        <f>IF($B17="","",SUMPRODUCT(('Trades'!$A$2:$A$501=$B17)*ISNUMBER(MATCH(LOWER('Trades'!$H$2:$H$501),{"open",""},0))))</f>
      </c>
    </row>
    <row r="18" spans="2:6" x14ac:dyDescent="0.25">
      <c r="B18" s="29"/>
      <c r="C18" s="30">
        <f>IF($B18="","",COUNTIF('Trades'!$A$2:$A$501,$B18))</f>
      </c>
      <c r="D18" s="31">
        <f>IF($B18="","",SUMIF('Trades'!$A$2:$A$501,$B18,'Trades'!$S$2:$S$501))</f>
      </c>
      <c r="E18" s="32">
        <f>IF($B18="","",SUMIF('Trades'!$A$2:$A$501,$B18,'Trades'!$N$2:$N$501))</f>
      </c>
      <c r="F18" s="30">
        <f>IF($B18="","",SUMPRODUCT(('Trades'!$A$2:$A$501=$B18)*ISNUMBER(MATCH(LOWER('Trades'!$H$2:$H$501),{"open",""},0))))</f>
      </c>
    </row>
    <row r="19" spans="2:6" x14ac:dyDescent="0.25">
      <c r="B19" s="33"/>
      <c r="C19" s="34">
        <f>IF($B19="","",COUNTIF('Trades'!$A$2:$A$501,$B19))</f>
      </c>
      <c r="D19" s="35">
        <f>IF($B19="","",SUMIF('Trades'!$A$2:$A$501,$B19,'Trades'!$S$2:$S$501))</f>
      </c>
      <c r="E19" s="36">
        <f>IF($B19="","",SUMIF('Trades'!$A$2:$A$501,$B19,'Trades'!$N$2:$N$501))</f>
      </c>
      <c r="F19" s="34">
        <f>IF($B19="","",SUMPRODUCT(('Trades'!$A$2:$A$501=$B19)*ISNUMBER(MATCH(LOWER('Trades'!$H$2:$H$501),{"open",""},0))))</f>
      </c>
    </row>
    <row r="20" spans="2:6" x14ac:dyDescent="0.25">
      <c r="B20" s="29"/>
      <c r="C20" s="30">
        <f>IF($B20="","",COUNTIF('Trades'!$A$2:$A$501,$B20))</f>
      </c>
      <c r="D20" s="31">
        <f>IF($B20="","",SUMIF('Trades'!$A$2:$A$501,$B20,'Trades'!$S$2:$S$501))</f>
      </c>
      <c r="E20" s="32">
        <f>IF($B20="","",SUMIF('Trades'!$A$2:$A$501,$B20,'Trades'!$N$2:$N$501))</f>
      </c>
      <c r="F20" s="30">
        <f>IF($B20="","",SUMPRODUCT(('Trades'!$A$2:$A$501=$B20)*ISNUMBER(MATCH(LOWER('Trades'!$H$2:$H$501),{"open",""},0))))</f>
      </c>
    </row>
    <row r="21" spans="2:6" x14ac:dyDescent="0.25">
      <c r="B21" s="33"/>
      <c r="C21" s="34">
        <f>IF($B21="","",COUNTIF('Trades'!$A$2:$A$501,$B21))</f>
      </c>
      <c r="D21" s="35">
        <f>IF($B21="","",SUMIF('Trades'!$A$2:$A$501,$B21,'Trades'!$S$2:$S$501))</f>
      </c>
      <c r="E21" s="36">
        <f>IF($B21="","",SUMIF('Trades'!$A$2:$A$501,$B21,'Trades'!$N$2:$N$501))</f>
      </c>
      <c r="F21" s="34">
        <f>IF($B21="","",SUMPRODUCT(('Trades'!$A$2:$A$501=$B21)*ISNUMBER(MATCH(LOWER('Trades'!$H$2:$H$501),{"open",""},0))))</f>
      </c>
    </row>
    <row r="22" spans="2:6" x14ac:dyDescent="0.25">
      <c r="B22" s="29"/>
      <c r="C22" s="30">
        <f>IF($B22="","",COUNTIF('Trades'!$A$2:$A$501,$B22))</f>
      </c>
      <c r="D22" s="31">
        <f>IF($B22="","",SUMIF('Trades'!$A$2:$A$501,$B22,'Trades'!$S$2:$S$501))</f>
      </c>
      <c r="E22" s="32">
        <f>IF($B22="","",SUMIF('Trades'!$A$2:$A$501,$B22,'Trades'!$N$2:$N$501))</f>
      </c>
      <c r="F22" s="30">
        <f>IF($B22="","",SUMPRODUCT(('Trades'!$A$2:$A$501=$B22)*ISNUMBER(MATCH(LOWER('Trades'!$H$2:$H$501),{"open",""},0))))</f>
      </c>
    </row>
    <row r="23" spans="2:6" x14ac:dyDescent="0.25">
      <c r="B23" s="33"/>
      <c r="C23" s="34">
        <f>IF($B23="","",COUNTIF('Trades'!$A$2:$A$501,$B23))</f>
      </c>
      <c r="D23" s="35">
        <f>IF($B23="","",SUMIF('Trades'!$A$2:$A$501,$B23,'Trades'!$S$2:$S$501))</f>
      </c>
      <c r="E23" s="36">
        <f>IF($B23="","",SUMIF('Trades'!$A$2:$A$501,$B23,'Trades'!$N$2:$N$501))</f>
      </c>
      <c r="F23" s="34">
        <f>IF($B23="","",SUMPRODUCT(('Trades'!$A$2:$A$501=$B23)*ISNUMBER(MATCH(LOWER('Trades'!$H$2:$H$501),{"open",""},0))))</f>
      </c>
    </row>
    <row r="24" spans="2:6" x14ac:dyDescent="0.25">
      <c r="B24" s="29"/>
      <c r="C24" s="30">
        <f>IF($B24="","",COUNTIF('Trades'!$A$2:$A$501,$B24))</f>
      </c>
      <c r="D24" s="31">
        <f>IF($B24="","",SUMIF('Trades'!$A$2:$A$501,$B24,'Trades'!$S$2:$S$501))</f>
      </c>
      <c r="E24" s="32">
        <f>IF($B24="","",SUMIF('Trades'!$A$2:$A$501,$B24,'Trades'!$N$2:$N$501))</f>
      </c>
      <c r="F24" s="30">
        <f>IF($B24="","",SUMPRODUCT(('Trades'!$A$2:$A$501=$B24)*ISNUMBER(MATCH(LOWER('Trades'!$H$2:$H$501),{"open",""},0))))</f>
      </c>
    </row>
    <row r="25" spans="2:6" x14ac:dyDescent="0.25">
      <c r="B25" s="33"/>
      <c r="C25" s="34">
        <f>IF($B25="","",COUNTIF('Trades'!$A$2:$A$501,$B25))</f>
      </c>
      <c r="D25" s="35">
        <f>IF($B25="","",SUMIF('Trades'!$A$2:$A$501,$B25,'Trades'!$S$2:$S$501))</f>
      </c>
      <c r="E25" s="36">
        <f>IF($B25="","",SUMIF('Trades'!$A$2:$A$501,$B25,'Trades'!$N$2:$N$501))</f>
      </c>
      <c r="F25" s="34">
        <f>IF($B25="","",SUMPRODUCT(('Trades'!$A$2:$A$501=$B25)*ISNUMBER(MATCH(LOWER('Trades'!$H$2:$H$501),{"open",""},0))))</f>
      </c>
    </row>
    <row r="26" spans="2:6" x14ac:dyDescent="0.25">
      <c r="B26" s="29"/>
      <c r="C26" s="30">
        <f>IF($B26="","",COUNTIF('Trades'!$A$2:$A$501,$B26))</f>
      </c>
      <c r="D26" s="31">
        <f>IF($B26="","",SUMIF('Trades'!$A$2:$A$501,$B26,'Trades'!$S$2:$S$501))</f>
      </c>
      <c r="E26" s="32">
        <f>IF($B26="","",SUMIF('Trades'!$A$2:$A$501,$B26,'Trades'!$N$2:$N$501))</f>
      </c>
      <c r="F26" s="30">
        <f>IF($B26="","",SUMPRODUCT(('Trades'!$A$2:$A$501=$B26)*ISNUMBER(MATCH(LOWER('Trades'!$H$2:$H$501),{"open",""},0))))</f>
      </c>
    </row>
    <row r="27" spans="2:6" x14ac:dyDescent="0.25">
      <c r="B27" s="33"/>
      <c r="C27" s="34">
        <f>IF($B27="","",COUNTIF('Trades'!$A$2:$A$501,$B27))</f>
      </c>
      <c r="D27" s="35">
        <f>IF($B27="","",SUMIF('Trades'!$A$2:$A$501,$B27,'Trades'!$S$2:$S$501))</f>
      </c>
      <c r="E27" s="36">
        <f>IF($B27="","",SUMIF('Trades'!$A$2:$A$501,$B27,'Trades'!$N$2:$N$501))</f>
      </c>
      <c r="F27" s="34">
        <f>IF($B27="","",SUMPRODUCT(('Trades'!$A$2:$A$501=$B27)*ISNUMBER(MATCH(LOWER('Trades'!$H$2:$H$501),{"open",""},0))))</f>
      </c>
    </row>
    <row r="28" spans="2:6" x14ac:dyDescent="0.25">
      <c r="B28" s="29"/>
      <c r="C28" s="30">
        <f>IF($B28="","",COUNTIF('Trades'!$A$2:$A$501,$B28))</f>
      </c>
      <c r="D28" s="31">
        <f>IF($B28="","",SUMIF('Trades'!$A$2:$A$501,$B28,'Trades'!$S$2:$S$501))</f>
      </c>
      <c r="E28" s="32">
        <f>IF($B28="","",SUMIF('Trades'!$A$2:$A$501,$B28,'Trades'!$N$2:$N$501))</f>
      </c>
      <c r="F28" s="30">
        <f>IF($B28="","",SUMPRODUCT(('Trades'!$A$2:$A$501=$B28)*ISNUMBER(MATCH(LOWER('Trades'!$H$2:$H$501),{"open",""},0))))</f>
      </c>
    </row>
    <row r="29" spans="2:6" x14ac:dyDescent="0.25">
      <c r="B29" s="33"/>
      <c r="C29" s="34">
        <f>IF($B29="","",COUNTIF('Trades'!$A$2:$A$501,$B29))</f>
      </c>
      <c r="D29" s="35">
        <f>IF($B29="","",SUMIF('Trades'!$A$2:$A$501,$B29,'Trades'!$S$2:$S$501))</f>
      </c>
      <c r="E29" s="36">
        <f>IF($B29="","",SUMIF('Trades'!$A$2:$A$501,$B29,'Trades'!$N$2:$N$501))</f>
      </c>
      <c r="F29" s="34">
        <f>IF($B29="","",SUMPRODUCT(('Trades'!$A$2:$A$501=$B29)*ISNUMBER(MATCH(LOWER('Trades'!$H$2:$H$501),{"open",""},0))))</f>
      </c>
    </row>
    <row r="31" spans="2:6" x14ac:dyDescent="0.25">
      <c r="B31" s="26" t="s">
        <v>40</v>
      </c>
      <c r="E31" s="37" t="s">
        <v>41</v>
      </c>
      <c r="F31" s="38">
        <f>YEAR(TODAY())</f>
      </c>
    </row>
    <row r="32" spans="2:3" x14ac:dyDescent="0.25">
      <c r="B32" s="39" t="s">
        <v>42</v>
      </c>
      <c r="C32" s="40" t="s">
        <v>3</v>
      </c>
    </row>
    <row r="33" spans="2:3" x14ac:dyDescent="0.25">
      <c r="B33" s="41" t="s">
        <v>43</v>
      </c>
      <c r="C33" s="42">
        <f>SUMPRODUCT((YEAR('Trades'!$F$2:$F$501)=$F$31)*(MONTH('Trades'!$F$2:$F$501)=1)*'Trades'!$S$2:$S$501)</f>
      </c>
    </row>
    <row r="34" spans="2:3" x14ac:dyDescent="0.25">
      <c r="B34" s="41" t="s">
        <v>44</v>
      </c>
      <c r="C34" s="42">
        <f>SUMPRODUCT((YEAR('Trades'!$F$2:$F$501)=$F$31)*(MONTH('Trades'!$F$2:$F$501)=2)*'Trades'!$S$2:$S$501)</f>
      </c>
    </row>
    <row r="35" spans="2:3" x14ac:dyDescent="0.25">
      <c r="B35" s="41" t="s">
        <v>45</v>
      </c>
      <c r="C35" s="42">
        <f>SUMPRODUCT((YEAR('Trades'!$F$2:$F$501)=$F$31)*(MONTH('Trades'!$F$2:$F$501)=3)*'Trades'!$S$2:$S$501)</f>
      </c>
    </row>
    <row r="36" spans="2:3" x14ac:dyDescent="0.25">
      <c r="B36" s="41" t="s">
        <v>46</v>
      </c>
      <c r="C36" s="42">
        <f>SUMPRODUCT((YEAR('Trades'!$F$2:$F$501)=$F$31)*(MONTH('Trades'!$F$2:$F$501)=4)*'Trades'!$S$2:$S$501)</f>
      </c>
    </row>
    <row r="37" spans="2:3" x14ac:dyDescent="0.25">
      <c r="B37" s="41" t="s">
        <v>47</v>
      </c>
      <c r="C37" s="42">
        <f>SUMPRODUCT((YEAR('Trades'!$F$2:$F$501)=$F$31)*(MONTH('Trades'!$F$2:$F$501)=5)*'Trades'!$S$2:$S$501)</f>
      </c>
    </row>
    <row r="38" spans="2:3" x14ac:dyDescent="0.25">
      <c r="B38" s="41" t="s">
        <v>48</v>
      </c>
      <c r="C38" s="42">
        <f>SUMPRODUCT((YEAR('Trades'!$F$2:$F$501)=$F$31)*(MONTH('Trades'!$F$2:$F$501)=6)*'Trades'!$S$2:$S$501)</f>
      </c>
    </row>
    <row r="39" spans="2:3" x14ac:dyDescent="0.25">
      <c r="B39" s="41" t="s">
        <v>49</v>
      </c>
      <c r="C39" s="42">
        <f>SUMPRODUCT((YEAR('Trades'!$F$2:$F$501)=$F$31)*(MONTH('Trades'!$F$2:$F$501)=7)*'Trades'!$S$2:$S$501)</f>
      </c>
    </row>
    <row r="40" spans="2:3" x14ac:dyDescent="0.25">
      <c r="B40" s="41" t="s">
        <v>50</v>
      </c>
      <c r="C40" s="42">
        <f>SUMPRODUCT((YEAR('Trades'!$F$2:$F$501)=$F$31)*(MONTH('Trades'!$F$2:$F$501)=8)*'Trades'!$S$2:$S$501)</f>
      </c>
    </row>
    <row r="41" spans="2:3" x14ac:dyDescent="0.25">
      <c r="B41" s="41" t="s">
        <v>51</v>
      </c>
      <c r="C41" s="42">
        <f>SUMPRODUCT((YEAR('Trades'!$F$2:$F$501)=$F$31)*(MONTH('Trades'!$F$2:$F$501)=9)*'Trades'!$S$2:$S$501)</f>
      </c>
    </row>
    <row r="42" spans="2:3" x14ac:dyDescent="0.25">
      <c r="B42" s="41" t="s">
        <v>52</v>
      </c>
      <c r="C42" s="42">
        <f>SUMPRODUCT((YEAR('Trades'!$F$2:$F$501)=$F$31)*(MONTH('Trades'!$F$2:$F$501)=10)*'Trades'!$S$2:$S$501)</f>
      </c>
    </row>
    <row r="43" spans="2:3" x14ac:dyDescent="0.25">
      <c r="B43" s="41" t="s">
        <v>53</v>
      </c>
      <c r="C43" s="42">
        <f>SUMPRODUCT((YEAR('Trades'!$F$2:$F$501)=$F$31)*(MONTH('Trades'!$F$2:$F$501)=11)*'Trades'!$S$2:$S$501)</f>
      </c>
    </row>
    <row r="44" spans="2:3" x14ac:dyDescent="0.25">
      <c r="B44" s="41" t="s">
        <v>54</v>
      </c>
      <c r="C44" s="42">
        <f>SUMPRODUCT((YEAR('Trades'!$F$2:$F$501)=$F$31)*(MONTH('Trades'!$F$2:$F$501)=12)*'Trades'!$S$2:$S$501)</f>
      </c>
    </row>
    <row r="46" spans="2:7" x14ac:dyDescent="0.25">
      <c r="B46" s="43" t="s">
        <v>55</v>
      </c>
      <c r="C46" s="43"/>
      <c r="D46" s="43"/>
      <c r="E46" s="43"/>
      <c r="F46" s="43"/>
      <c r="G46" s="43"/>
    </row>
    <row r="47" spans="2:7" x14ac:dyDescent="0.25">
      <c r="B47" s="43"/>
      <c r="C47" s="43"/>
      <c r="D47" s="43"/>
      <c r="E47" s="43"/>
      <c r="F47" s="43"/>
      <c r="G47" s="43"/>
    </row>
  </sheetData>
  <mergeCells count="15">
    <mergeCell ref="B2:G2"/>
    <mergeCell ref="B3:G3"/>
    <mergeCell ref="B5:C5"/>
    <mergeCell ref="D5:E5"/>
    <mergeCell ref="F5:G5"/>
    <mergeCell ref="B6:C6"/>
    <mergeCell ref="D6:E6"/>
    <mergeCell ref="F6:G6"/>
    <mergeCell ref="B8:C8"/>
    <mergeCell ref="D8:E8"/>
    <mergeCell ref="F8:G8"/>
    <mergeCell ref="B9:C9"/>
    <mergeCell ref="D9:E9"/>
    <mergeCell ref="F9:G9"/>
    <mergeCell ref="B46:G47"/>
  </mergeCells>
  <conditionalFormatting sqref="D6">
    <cfRule type="cellIs" dxfId="8" priority="1" operator="greaterThan">
      <formula>0</formula>
    </cfRule>
    <cfRule type="cellIs" dxfId="9" priority="2" operator="lessThan">
      <formula>0</formula>
    </cfRule>
  </conditionalFormatting>
  <conditionalFormatting sqref="B9">
    <cfRule type="cellIs" dxfId="10" priority="1" operator="greaterThan">
      <formula>0</formula>
    </cfRule>
    <cfRule type="cellIs" dxfId="11" priority="2" operator="lessThan">
      <formula>0</formula>
    </cfRule>
  </conditionalFormatting>
  <conditionalFormatting sqref="E14:E29">
    <cfRule type="cellIs" dxfId="12" priority="3" operator="greaterThan">
      <formula>0</formula>
    </cfRule>
    <cfRule type="cellIs" dxfId="13" priority="4" operator="lessThan">
      <formula>0</formula>
    </cfRule>
  </conditionalFormatting>
  <conditionalFormatting sqref="C33:C44">
    <cfRule type="dataBar" priority="9">
      <dataBar>
        <cfvo type="num" val="0"/>
        <cfvo type="max"/>
        <color rgb="FFF4C76A"/>
      </dataBar>
      <extLst>
        <ext xmlns:x14="http://schemas.microsoft.com/office/spreadsheetml/2009/9/main" uri="{B025F937-C7B1-47D3-B67F-A62EFF666E3E}">
          <x14:id>{51568287-FBAE-4B78-AE92-65524CFCCC6C}</x14:id>
        </ext>
      </extLst>
    </cfRule>
  </conditionalFormatting>
  <pageMargins left="0.7" right="0.7" top="0.75" bottom="0.75" header="0.3" footer="0.3"/>
  <pageSetup orientation="portrait" horizontalDpi="4294967295" verticalDpi="4294967295" scale="100" fitToWidth="1" fitToHeight="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1568287-FBAE-4B78-AE92-65524CFCCC6C}">
            <x14:dataBar minLength="0" maxLength="100" gradient="0">
              <x14:cfvo type="num">
                <xm:f>0</xm:f>
              </x14:cfvo>
              <x14:cfvo type="max"/>
            </x14:dataBar>
          </x14:cfRule>
          <xm:sqref>C33:C44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2A30"/>
  </sheetPr>
  <dimension ref="B2:B23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110" customWidth="1"/>
  </cols>
  <sheetData>
    <row r="2" ht="30" customHeight="1" spans="2:2" x14ac:dyDescent="0.25">
      <c r="B2" s="44" t="s">
        <v>56</v>
      </c>
    </row>
    <row r="3" spans="2:2" x14ac:dyDescent="0.25">
      <c r="B3" s="45" t="s">
        <v>57</v>
      </c>
    </row>
    <row r="4" spans="2:2" x14ac:dyDescent="0.25">
      <c r="B4" s="45" t="s">
        <v>58</v>
      </c>
    </row>
    <row r="5" spans="2:2" x14ac:dyDescent="0.25">
      <c r="B5" s="46" t="s">
        <v>59</v>
      </c>
    </row>
    <row r="6" spans="2:2" x14ac:dyDescent="0.25">
      <c r="B6" s="45" t="s">
        <v>60</v>
      </c>
    </row>
    <row r="7" spans="2:2" x14ac:dyDescent="0.25">
      <c r="B7" s="45" t="s">
        <v>61</v>
      </c>
    </row>
    <row r="8" spans="2:2" x14ac:dyDescent="0.25">
      <c r="B8" s="45" t="s">
        <v>62</v>
      </c>
    </row>
    <row r="9" spans="2:2" x14ac:dyDescent="0.25">
      <c r="B9" s="45" t="s">
        <v>63</v>
      </c>
    </row>
    <row r="10" spans="2:2" x14ac:dyDescent="0.25">
      <c r="B10" s="45" t="s">
        <v>58</v>
      </c>
    </row>
    <row r="11" spans="2:2" x14ac:dyDescent="0.25">
      <c r="B11" s="46" t="s">
        <v>64</v>
      </c>
    </row>
    <row r="12" ht="32" customHeight="1" spans="2:2" x14ac:dyDescent="0.25">
      <c r="B12" s="45" t="s">
        <v>65</v>
      </c>
    </row>
    <row r="13" spans="2:2" x14ac:dyDescent="0.25">
      <c r="B13" s="45" t="s">
        <v>66</v>
      </c>
    </row>
    <row r="14" spans="2:2" x14ac:dyDescent="0.25">
      <c r="B14" s="45" t="s">
        <v>58</v>
      </c>
    </row>
    <row r="15" spans="2:2" x14ac:dyDescent="0.25">
      <c r="B15" s="46" t="s">
        <v>67</v>
      </c>
    </row>
    <row r="16" ht="32" customHeight="1" spans="2:2" x14ac:dyDescent="0.25">
      <c r="B16" s="45" t="s">
        <v>68</v>
      </c>
    </row>
    <row r="17" spans="2:2" x14ac:dyDescent="0.25">
      <c r="B17" s="45" t="s">
        <v>58</v>
      </c>
    </row>
    <row r="18" spans="2:2" x14ac:dyDescent="0.25">
      <c r="B18" s="46" t="s">
        <v>69</v>
      </c>
    </row>
    <row r="19" ht="32" customHeight="1" spans="2:2" x14ac:dyDescent="0.25">
      <c r="B19" s="45" t="s">
        <v>70</v>
      </c>
    </row>
    <row r="20" spans="2:2" x14ac:dyDescent="0.25">
      <c r="B20" s="47" t="s">
        <v>71</v>
      </c>
    </row>
    <row r="21" spans="2:2" x14ac:dyDescent="0.25">
      <c r="B21" s="45" t="s">
        <v>58</v>
      </c>
    </row>
    <row r="22" spans="2:2" x14ac:dyDescent="0.25">
      <c r="B22" s="48" t="s">
        <v>72</v>
      </c>
    </row>
    <row r="23" spans="2:2" x14ac:dyDescent="0.25">
      <c r="B23" s="48" t="s">
        <v>73</v>
      </c>
    </row>
  </sheetData>
  <hyperlinks>
    <hyperlink ref="B20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Trades</vt:lpstr>
      <vt:lpstr>Wheel summary</vt:lpstr>
      <vt:lpstr>How to use</vt:lpstr>
    </vt:vector>
  </TitlesOfParts>
  <Company>YieldCove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YieldCove</dc:creator>
  <dc:title>YieldCove wheel tracker</dc:title>
  <dc:subject>YieldCove wheel tracker</dc:subject>
  <dc:description/>
  <cp:keywords/>
  <cp:category/>
  <cp:lastModifiedBy>Unknown</cp:lastModifiedBy>
  <dcterms:created xsi:type="dcterms:W3CDTF">2026-10-06T12:00:00Z</dcterms:created>
  <dcterms:modified xsi:type="dcterms:W3CDTF">2026-10-06T12:00:00Z</dcterms:modified>
</cp:coreProperties>
</file>